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  <Override PartName="/xl/embeddings/oleObject_21_2.bin" ContentType="application/vnd.openxmlformats-officedocument.oleObject"/>
  <Override PartName="/xl/embeddings/oleObject_21_3.bin" ContentType="application/vnd.openxmlformats-officedocument.oleObject"/>
  <Override PartName="/xl/embeddings/oleObject_21_4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  <Override PartName="/xl/embeddings/oleObject_27_0.bin" ContentType="application/vnd.openxmlformats-officedocument.oleObject"/>
  <Override PartName="/xl/embeddings/oleObject_29_0.bin" ContentType="application/vnd.openxmlformats-officedocument.oleObject"/>
  <Override PartName="/xl/embeddings/oleObject_30_0.bin" ContentType="application/vnd.openxmlformats-officedocument.oleObject"/>
  <Override PartName="/xl/embeddings/oleObject_31_0.bin" ContentType="application/vnd.openxmlformats-officedocument.oleObject"/>
  <Override PartName="/xl/embeddings/oleObject_32_0.bin" ContentType="application/vnd.openxmlformats-officedocument.oleObject"/>
  <Override PartName="/xl/embeddings/oleObject_33_0.bin" ContentType="application/vnd.openxmlformats-officedocument.oleObject"/>
  <Override PartName="/xl/embeddings/oleObject_35_0.bin" ContentType="application/vnd.openxmlformats-officedocument.oleObject"/>
  <Override PartName="/xl/embeddings/oleObject_35_1.bin" ContentType="application/vnd.openxmlformats-officedocument.oleObject"/>
  <Override PartName="/xl/embeddings/oleObject_35_2.bin" ContentType="application/vnd.openxmlformats-officedocument.oleObject"/>
  <Override PartName="/xl/embeddings/oleObject_35_3.bin" ContentType="application/vnd.openxmlformats-officedocument.oleObject"/>
  <Override PartName="/xl/embeddings/oleObject_35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1970" windowHeight="3285" firstSheet="2" activeTab="11"/>
  </bookViews>
  <sheets>
    <sheet name="BASE " sheetId="1" state="hidden" r:id="rId1"/>
    <sheet name="VPA " sheetId="2" state="hidden" r:id="rId2"/>
    <sheet name="VPC-03" sheetId="3" r:id="rId3"/>
    <sheet name="VP - 03" sheetId="4" state="hidden" r:id="rId4"/>
    <sheet name="SCC_50-10" sheetId="5" state="hidden" r:id="rId5"/>
    <sheet name="SCC_50-15" sheetId="6" state="hidden" r:id="rId6"/>
    <sheet name="VPC-VPA-04 " sheetId="7" state="hidden" r:id="rId7"/>
    <sheet name="CANALET  ENTRE VIAS" sheetId="8" state="hidden" r:id="rId8"/>
    <sheet name="CANALETA  PÉ CORTE" sheetId="9" state="hidden" r:id="rId9"/>
    <sheet name="CANALETA  PÉ CORTE TRAP. 0-3km" sheetId="10" state="hidden" r:id="rId10"/>
    <sheet name="CANALETA  PÉ CORTE STC 0-3km)" sheetId="11" state="hidden" r:id="rId11"/>
    <sheet name="VZC-02." sheetId="12" r:id="rId12"/>
    <sheet name="canaleta entre vias " sheetId="13" r:id="rId13"/>
    <sheet name="MF-02" sheetId="14" state="hidden" r:id="rId14"/>
    <sheet name="Calha Ø 0,30(E) (2)" sheetId="15" state="hidden" r:id="rId15"/>
    <sheet name="Q Específica" sheetId="16" state="hidden" r:id="rId16"/>
    <sheet name="SCA_3ªFaixa" sheetId="17" state="hidden" r:id="rId17"/>
    <sheet name="SCC_70-15=PS" sheetId="18" state="hidden" r:id="rId18"/>
    <sheet name="SBA-02_BANQUETA-ATERRO" sheetId="19" state="hidden" r:id="rId19"/>
    <sheet name="VZC-01_BANQUETA-CORTE" sheetId="20" state="hidden" r:id="rId20"/>
    <sheet name="SCA_50-20" sheetId="21" state="hidden" r:id="rId21"/>
    <sheet name="SCC_70-15 " sheetId="22" state="hidden" r:id="rId22"/>
    <sheet name="SARJETÃO" sheetId="23" state="hidden" r:id="rId23"/>
    <sheet name="PE-MFC-EX" sheetId="24" state="hidden" r:id="rId24"/>
    <sheet name="PN-MFC-01" sheetId="25" state="hidden" r:id="rId25"/>
    <sheet name="MFC-01-Modificado-OK" sheetId="26" state="hidden" r:id="rId26"/>
    <sheet name="MFC-01_Modificado " sheetId="27" state="hidden" r:id="rId27"/>
    <sheet name="Calha Ø 0,30(E)" sheetId="28" state="hidden" r:id="rId28"/>
    <sheet name="CANALETA-(REVER)" sheetId="29" state="hidden" r:id="rId29"/>
    <sheet name="CANALETA-Cálculo" sheetId="30" state="hidden" r:id="rId30"/>
    <sheet name="MFC-01" sheetId="31" state="hidden" r:id="rId31"/>
    <sheet name="STC-04_BERMA-ATERRO" sheetId="32" state="hidden" r:id="rId32"/>
    <sheet name="STC-04_BERMA-CORTE" sheetId="33" state="hidden" r:id="rId33"/>
    <sheet name="SCC-0X" sheetId="34" state="hidden" r:id="rId34"/>
    <sheet name="Am(m²)-Pm(m) " sheetId="35" state="hidden" r:id="rId35"/>
    <sheet name="Cálculos-Am_Pm  " sheetId="36" state="hidden" r:id="rId36"/>
    <sheet name="Plan5" sheetId="37" state="hidden" r:id="rId37"/>
    <sheet name="Plan1" sheetId="38" state="hidden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34">'Am(m²)-Pm(m) '!$B$14:$J$66</definedName>
    <definedName name="_xlnm.Print_Area" localSheetId="0">'BASE '!$A$1:$O$19</definedName>
    <definedName name="_xlnm.Print_Area" localSheetId="27">'Calha Ø 0,30(E)'!$C$1:$O$44</definedName>
    <definedName name="_xlnm.Print_Area" localSheetId="14">'Calha Ø 0,30(E) (2)'!$C$2:$P$29</definedName>
    <definedName name="_xlnm.Print_Area" localSheetId="7">'CANALET  ENTRE VIAS'!$B$1:$O$45</definedName>
    <definedName name="_xlnm.Print_Area" localSheetId="8">'CANALETA  PÉ CORTE'!$B$1:$O$45</definedName>
    <definedName name="_xlnm.Print_Area" localSheetId="10">'CANALETA  PÉ CORTE STC 0-3km)'!$B$1:$O$45</definedName>
    <definedName name="_xlnm.Print_Area" localSheetId="9">'CANALETA  PÉ CORTE TRAP. 0-3km'!$B$1:$O$45</definedName>
    <definedName name="_xlnm.Print_Area" localSheetId="12">'canaleta entre vias '!$C$1:$O$36</definedName>
    <definedName name="_xlnm.Print_Area" localSheetId="29">'CANALETA-Cálculo'!$C$1:$O$38</definedName>
    <definedName name="_xlnm.Print_Area" localSheetId="13">'MF-02'!$C$1:$O$36</definedName>
    <definedName name="_xlnm.Print_Area" localSheetId="30">'MFC-01'!$C$1:$O$43</definedName>
    <definedName name="_xlnm.Print_Area" localSheetId="26">'MFC-01_Modificado '!$C$1:$O$43</definedName>
    <definedName name="_xlnm.Print_Area" localSheetId="25">'MFC-01-Modificado-OK'!$B$2:$O$39</definedName>
    <definedName name="_xlnm.Print_Area" localSheetId="23">'PE-MFC-EX'!$B$2:$O$39</definedName>
    <definedName name="_xlnm.Print_Area" localSheetId="24">'PN-MFC-01'!$B$2:$O$39</definedName>
    <definedName name="_xlnm.Print_Area" localSheetId="15">'Q Específica'!$C$2:$O$44</definedName>
    <definedName name="_xlnm.Print_Area" localSheetId="22">'SARJETÃO'!$C$1:$O$43</definedName>
    <definedName name="_xlnm.Print_Area" localSheetId="18">'SBA-02_BANQUETA-ATERRO'!$B$1:$O$44</definedName>
    <definedName name="_xlnm.Print_Area" localSheetId="16">'SCA_3ªFaixa'!$C$1:$O$38</definedName>
    <definedName name="_xlnm.Print_Area" localSheetId="20">'SCA_50-20'!$C$1:$O$38</definedName>
    <definedName name="_xlnm.Print_Area" localSheetId="4">'SCC_50-10'!$B$1:$O$132</definedName>
    <definedName name="_xlnm.Print_Area" localSheetId="5">'SCC_50-15'!$B$1:$O$132</definedName>
    <definedName name="_xlnm.Print_Area" localSheetId="21">'SCC_70-15 '!$B$1:$O$132</definedName>
    <definedName name="_xlnm.Print_Area" localSheetId="17">'SCC_70-15=PS'!$B$1:$O$132</definedName>
    <definedName name="_xlnm.Print_Area" localSheetId="33">'SCC-0X'!$B$2:$N$44</definedName>
    <definedName name="_xlnm.Print_Area" localSheetId="31">'STC-04_BERMA-ATERRO'!$B$1:$O$44</definedName>
    <definedName name="_xlnm.Print_Area" localSheetId="32">'STC-04_BERMA-CORTE'!$B$1:$O$44</definedName>
    <definedName name="_xlnm.Print_Area" localSheetId="3">'VP - 03'!$B$2:$L$43</definedName>
    <definedName name="_xlnm.Print_Area" localSheetId="1">'VPA '!$B$2:$L$43</definedName>
    <definedName name="_xlnm.Print_Area" localSheetId="2">'VPC-03'!$B$2:$L$44</definedName>
    <definedName name="_xlnm.Print_Area" localSheetId="6">'VPC-VPA-04 '!$B$2:$L$44</definedName>
    <definedName name="_xlnm.Print_Area" localSheetId="19">'VZC-01_BANQUETA-CORTE'!$B$1:$O$44</definedName>
    <definedName name="_xlnm.Print_Area" localSheetId="11">'VZC-02.'!$B$1:$O$45</definedName>
  </definedNames>
  <calcPr fullCalcOnLoad="1"/>
</workbook>
</file>

<file path=xl/sharedStrings.xml><?xml version="1.0" encoding="utf-8"?>
<sst xmlns="http://schemas.openxmlformats.org/spreadsheetml/2006/main" count="2737" uniqueCount="412">
  <si>
    <t xml:space="preserve">Altura </t>
  </si>
  <si>
    <t>( m )</t>
  </si>
  <si>
    <t>h</t>
  </si>
  <si>
    <t>H</t>
  </si>
  <si>
    <t>Am =</t>
  </si>
  <si>
    <t>Pm =</t>
  </si>
  <si>
    <t>Rh  =</t>
  </si>
  <si>
    <t>m</t>
  </si>
  <si>
    <t>m²</t>
  </si>
  <si>
    <t>n  =</t>
  </si>
  <si>
    <t>c 1=</t>
  </si>
  <si>
    <t>l 1=</t>
  </si>
  <si>
    <t>anos</t>
  </si>
  <si>
    <t>minutos</t>
  </si>
  <si>
    <t>mm/h</t>
  </si>
  <si>
    <t>h / v</t>
  </si>
  <si>
    <t>v</t>
  </si>
  <si>
    <t>Tc =</t>
  </si>
  <si>
    <t>Tr  =</t>
  </si>
  <si>
    <t>I   =</t>
  </si>
  <si>
    <t>Declividades  ( % )</t>
  </si>
  <si>
    <t>Qc</t>
  </si>
  <si>
    <t xml:space="preserve">Q s </t>
  </si>
  <si>
    <t xml:space="preserve">L </t>
  </si>
  <si>
    <t>Fórmula de Manning</t>
  </si>
  <si>
    <t>Comprimento crítico ( m )</t>
  </si>
  <si>
    <t>Declividade da sarjeta ( % )</t>
  </si>
  <si>
    <t xml:space="preserve">Largura da pista ( m ) </t>
  </si>
  <si>
    <t xml:space="preserve">Largura do talude ( m ) </t>
  </si>
  <si>
    <t>Lp =</t>
  </si>
  <si>
    <t>Distância do off-set a valeta de proteção ( m )</t>
  </si>
  <si>
    <t>L =</t>
  </si>
  <si>
    <t>i  =</t>
  </si>
  <si>
    <t>x</t>
  </si>
  <si>
    <t>Variável</t>
  </si>
  <si>
    <t>Lt</t>
  </si>
  <si>
    <t>( auxiliares)</t>
  </si>
  <si>
    <t>EM CURVA</t>
  </si>
  <si>
    <t>TIPO:  SCC - 01</t>
  </si>
  <si>
    <t>Geometria</t>
  </si>
  <si>
    <t>Tangente</t>
  </si>
  <si>
    <t>Curva</t>
  </si>
  <si>
    <t>( 0,90 x Lp   )</t>
  </si>
  <si>
    <t>Lt =</t>
  </si>
  <si>
    <t>Lv =</t>
  </si>
  <si>
    <t>COMPRIMENTO  CRÍTICO DE SARJETA DE CANTEIRO CENTRAL</t>
  </si>
  <si>
    <t>do</t>
  </si>
  <si>
    <t>Corte</t>
  </si>
  <si>
    <t>COMPRIMENTO  CRÍTICO DE SARJETA DE CORTE</t>
  </si>
  <si>
    <t>COMPRIMENTO  CRÍTICO DE SARJETA DE ATERRO</t>
  </si>
  <si>
    <t>PROJETO  DE  DRENAGEM</t>
  </si>
  <si>
    <t>POSTO:</t>
  </si>
  <si>
    <t>( Em Curva - Bordo Interno )</t>
  </si>
  <si>
    <t>( Em Curva - Bordo Externo )</t>
  </si>
  <si>
    <t>( Em Tangente )</t>
  </si>
  <si>
    <t>( 0,90 x Lp + 0,65 x Lc  )</t>
  </si>
  <si>
    <t>- tangente</t>
  </si>
  <si>
    <t>-curva</t>
  </si>
  <si>
    <t>Lc =</t>
  </si>
  <si>
    <t xml:space="preserve">Largura  do canteiro ( m ) </t>
  </si>
  <si>
    <t xml:space="preserve">Qs = </t>
  </si>
  <si>
    <t>Capacidade de vazão do dispositivo</t>
  </si>
  <si>
    <t>= A x V</t>
  </si>
  <si>
    <t>=</t>
  </si>
  <si>
    <t>A</t>
  </si>
  <si>
    <r>
      <t>Rh</t>
    </r>
    <r>
      <rPr>
        <vertAlign val="superscript"/>
        <sz val="10"/>
        <color indexed="10"/>
        <rFont val="Arial"/>
        <family val="2"/>
      </rPr>
      <t>2/3</t>
    </r>
  </si>
  <si>
    <r>
      <t>Ö</t>
    </r>
    <r>
      <rPr>
        <sz val="10"/>
        <rFont val="Arial"/>
        <family val="2"/>
      </rPr>
      <t>i</t>
    </r>
  </si>
  <si>
    <t>K1</t>
  </si>
  <si>
    <t>n</t>
  </si>
  <si>
    <t xml:space="preserve">Qc = </t>
  </si>
  <si>
    <t>Vazão Contribuinte =</t>
  </si>
  <si>
    <t xml:space="preserve"> 0,278 x I x ( A x C )</t>
  </si>
  <si>
    <t xml:space="preserve"> 0,278 x I x L x ( L' x c' )</t>
  </si>
  <si>
    <t xml:space="preserve"> í</t>
  </si>
  <si>
    <r>
      <t xml:space="preserve"> </t>
    </r>
    <r>
      <rPr>
        <sz val="10"/>
        <color indexed="14"/>
        <rFont val="Arial"/>
        <family val="2"/>
      </rPr>
      <t xml:space="preserve">0,278 x I </t>
    </r>
    <r>
      <rPr>
        <sz val="10"/>
        <rFont val="Arial"/>
        <family val="2"/>
      </rPr>
      <t>x L x (Lpxcp + Ltxct + Lvxcv )</t>
    </r>
  </si>
  <si>
    <t>ý</t>
  </si>
  <si>
    <r>
      <t>K</t>
    </r>
    <r>
      <rPr>
        <vertAlign val="subscript"/>
        <sz val="10"/>
        <color indexed="14"/>
        <rFont val="Arial"/>
        <family val="2"/>
      </rPr>
      <t>2 x</t>
    </r>
  </si>
  <si>
    <t xml:space="preserve"> L x (Lpxcp + Ltxct + Lvxcv )</t>
  </si>
  <si>
    <t xml:space="preserve">Qc  </t>
  </si>
  <si>
    <t>Área em Km² para m²</t>
  </si>
  <si>
    <r>
      <t xml:space="preserve">10 </t>
    </r>
    <r>
      <rPr>
        <b/>
        <vertAlign val="superscript"/>
        <sz val="11"/>
        <rFont val="Arial"/>
        <family val="2"/>
      </rPr>
      <t>5</t>
    </r>
  </si>
  <si>
    <t>para i em %</t>
  </si>
  <si>
    <r>
      <t>( K1 /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  <r>
      <rPr>
        <vertAlign val="subscript"/>
        <sz val="10"/>
        <rFont val="Arial"/>
        <family val="2"/>
      </rPr>
      <t xml:space="preserve"> x</t>
    </r>
    <r>
      <rPr>
        <b/>
        <sz val="11"/>
        <color indexed="53"/>
        <rFont val="Arial"/>
        <family val="2"/>
      </rPr>
      <t xml:space="preserve">10 </t>
    </r>
    <r>
      <rPr>
        <b/>
        <vertAlign val="superscript"/>
        <sz val="11"/>
        <color indexed="53"/>
        <rFont val="Arial"/>
        <family val="2"/>
      </rPr>
      <t>5</t>
    </r>
  </si>
  <si>
    <r>
      <t>Ö</t>
    </r>
    <r>
      <rPr>
        <sz val="10"/>
        <rFont val="Arial"/>
        <family val="2"/>
      </rPr>
      <t>i (%)</t>
    </r>
  </si>
  <si>
    <r>
      <t>K</t>
    </r>
    <r>
      <rPr>
        <vertAlign val="subscript"/>
        <sz val="10"/>
        <color indexed="10"/>
        <rFont val="Arial"/>
        <family val="2"/>
      </rPr>
      <t xml:space="preserve">1 </t>
    </r>
    <r>
      <rPr>
        <sz val="10"/>
        <color indexed="10"/>
        <rFont val="Arial"/>
        <family val="2"/>
      </rPr>
      <t>=</t>
    </r>
  </si>
  <si>
    <t xml:space="preserve"> ( Lpxcp + Ltxct + Lvxcv )</t>
  </si>
  <si>
    <r>
      <t>K</t>
    </r>
    <r>
      <rPr>
        <vertAlign val="subscript"/>
        <sz val="10"/>
        <color indexed="14"/>
        <rFont val="Arial"/>
        <family val="2"/>
      </rPr>
      <t>2</t>
    </r>
    <r>
      <rPr>
        <sz val="10"/>
        <color indexed="14"/>
        <rFont val="Arial"/>
        <family val="2"/>
      </rPr>
      <t xml:space="preserve"> =</t>
    </r>
  </si>
  <si>
    <t>a</t>
  </si>
  <si>
    <t>b</t>
  </si>
  <si>
    <t>Dimensões ( cm )</t>
  </si>
  <si>
    <t xml:space="preserve">Área </t>
  </si>
  <si>
    <t>Perímetro Molhado</t>
  </si>
  <si>
    <t>Orgão</t>
  </si>
  <si>
    <t>TIPO</t>
  </si>
  <si>
    <t>Am (m²)</t>
  </si>
  <si>
    <t>Pm (m)</t>
  </si>
  <si>
    <t>SCA-40/20</t>
  </si>
  <si>
    <t>Q</t>
  </si>
  <si>
    <t xml:space="preserve">      /</t>
  </si>
  <si>
    <t xml:space="preserve">TIPO:  STC - 04 </t>
  </si>
  <si>
    <t>Lb =</t>
  </si>
  <si>
    <t xml:space="preserve">Largura da berma ( m ) </t>
  </si>
  <si>
    <t>C</t>
  </si>
  <si>
    <t>k</t>
  </si>
  <si>
    <r>
      <t xml:space="preserve">Z </t>
    </r>
    <r>
      <rPr>
        <sz val="8"/>
        <rFont val="Arial"/>
        <family val="2"/>
      </rPr>
      <t>(m/m)</t>
    </r>
  </si>
  <si>
    <r>
      <t xml:space="preserve">y </t>
    </r>
    <r>
      <rPr>
        <sz val="8"/>
        <rFont val="Arial"/>
        <family val="2"/>
      </rPr>
      <t>(cm)</t>
    </r>
  </si>
  <si>
    <r>
      <t xml:space="preserve">i </t>
    </r>
    <r>
      <rPr>
        <sz val="8"/>
        <color indexed="9"/>
        <rFont val="Arial"/>
        <family val="2"/>
      </rPr>
      <t>(m/m)</t>
    </r>
  </si>
  <si>
    <t>q1</t>
  </si>
  <si>
    <t>q2</t>
  </si>
  <si>
    <t>q3</t>
  </si>
  <si>
    <t>l/s</t>
  </si>
  <si>
    <t>m³/s</t>
  </si>
  <si>
    <t>i   =</t>
  </si>
  <si>
    <r>
      <t xml:space="preserve"> X</t>
    </r>
    <r>
      <rPr>
        <sz val="11"/>
        <color indexed="10"/>
        <rFont val="Symbol"/>
        <family val="1"/>
      </rPr>
      <t xml:space="preserve"> Ö</t>
    </r>
    <r>
      <rPr>
        <sz val="11"/>
        <color indexed="10"/>
        <rFont val="Arial"/>
        <family val="2"/>
      </rPr>
      <t xml:space="preserve">i   </t>
    </r>
  </si>
  <si>
    <r>
      <t xml:space="preserve"> X</t>
    </r>
    <r>
      <rPr>
        <sz val="11"/>
        <color indexed="12"/>
        <rFont val="Symbol"/>
        <family val="1"/>
      </rPr>
      <t xml:space="preserve"> Ö</t>
    </r>
    <r>
      <rPr>
        <sz val="11"/>
        <color indexed="12"/>
        <rFont val="Arial"/>
        <family val="2"/>
      </rPr>
      <t xml:space="preserve">i   </t>
    </r>
  </si>
  <si>
    <t xml:space="preserve">Am = </t>
  </si>
  <si>
    <t>Fórmula de Izzard</t>
  </si>
  <si>
    <t>Q s =</t>
  </si>
  <si>
    <t>Q c t =</t>
  </si>
  <si>
    <t>Q cc =</t>
  </si>
  <si>
    <t>Alagamento =</t>
  </si>
  <si>
    <t>Q s</t>
  </si>
  <si>
    <t xml:space="preserve">Vazão </t>
  </si>
  <si>
    <t>( m³ / s )</t>
  </si>
  <si>
    <t>Velocidade</t>
  </si>
  <si>
    <t>( m / s )</t>
  </si>
  <si>
    <t>C p =</t>
  </si>
  <si>
    <t>L p =</t>
  </si>
  <si>
    <t>- Tangente</t>
  </si>
  <si>
    <t>- Curva</t>
  </si>
  <si>
    <t xml:space="preserve">Largura do passeio ( m ) </t>
  </si>
  <si>
    <r>
      <t xml:space="preserve">V </t>
    </r>
    <r>
      <rPr>
        <vertAlign val="subscript"/>
        <sz val="10"/>
        <color indexed="10"/>
        <rFont val="Arial"/>
        <family val="2"/>
      </rPr>
      <t>0 =</t>
    </r>
  </si>
  <si>
    <r>
      <t xml:space="preserve"> X</t>
    </r>
    <r>
      <rPr>
        <sz val="11"/>
        <rFont val="Symbol"/>
        <family val="1"/>
      </rPr>
      <t xml:space="preserve"> Ö</t>
    </r>
    <r>
      <rPr>
        <sz val="11"/>
        <rFont val="Arial"/>
        <family val="2"/>
      </rPr>
      <t xml:space="preserve">i   </t>
    </r>
  </si>
  <si>
    <r>
      <t xml:space="preserve">Comprimento  Crítico    </t>
    </r>
    <r>
      <rPr>
        <sz val="8"/>
        <rFont val="Arial"/>
        <family val="2"/>
      </rPr>
      <t>( m )</t>
    </r>
  </si>
  <si>
    <r>
      <t xml:space="preserve">Qs / Q c   </t>
    </r>
    <r>
      <rPr>
        <sz val="8"/>
        <rFont val="Arial"/>
        <family val="2"/>
      </rPr>
      <t>x</t>
    </r>
  </si>
  <si>
    <r>
      <t>Lp</t>
    </r>
    <r>
      <rPr>
        <sz val="8"/>
        <rFont val="Arial"/>
        <family val="2"/>
      </rPr>
      <t>1</t>
    </r>
    <r>
      <rPr>
        <sz val="9"/>
        <rFont val="Arial"/>
        <family val="2"/>
      </rPr>
      <t xml:space="preserve"> =</t>
    </r>
  </si>
  <si>
    <r>
      <t>Lp</t>
    </r>
    <r>
      <rPr>
        <sz val="8"/>
        <rFont val="Arial"/>
        <family val="2"/>
      </rPr>
      <t>2</t>
    </r>
    <r>
      <rPr>
        <sz val="9"/>
        <rFont val="Arial"/>
        <family val="2"/>
      </rPr>
      <t xml:space="preserve"> =</t>
    </r>
  </si>
  <si>
    <r>
      <t>Lp</t>
    </r>
    <r>
      <rPr>
        <sz val="8"/>
        <color indexed="9"/>
        <rFont val="Arial"/>
        <family val="2"/>
      </rPr>
      <t>3</t>
    </r>
    <r>
      <rPr>
        <sz val="9"/>
        <color indexed="9"/>
        <rFont val="Arial"/>
        <family val="2"/>
      </rPr>
      <t xml:space="preserve"> =</t>
    </r>
  </si>
  <si>
    <r>
      <t xml:space="preserve">10 </t>
    </r>
    <r>
      <rPr>
        <vertAlign val="superscript"/>
        <sz val="10"/>
        <color indexed="12"/>
        <rFont val="Arial"/>
        <family val="2"/>
      </rPr>
      <t>-6</t>
    </r>
  </si>
  <si>
    <t>c 1 =</t>
  </si>
  <si>
    <t>c 2 =</t>
  </si>
  <si>
    <t>c 3 =</t>
  </si>
  <si>
    <t>Ouro Preto - MG</t>
  </si>
  <si>
    <t>Faixa</t>
  </si>
  <si>
    <t>Acostamento</t>
  </si>
  <si>
    <t>Drenagem</t>
  </si>
  <si>
    <t>LARGURA DA PISTA  - SIMPLES</t>
  </si>
  <si>
    <r>
      <t>LARGURA DA PISTA  - 3</t>
    </r>
    <r>
      <rPr>
        <strike/>
        <sz val="8"/>
        <color indexed="9"/>
        <rFont val="Arial"/>
        <family val="2"/>
      </rPr>
      <t>ª</t>
    </r>
    <r>
      <rPr>
        <sz val="8"/>
        <color indexed="9"/>
        <rFont val="Arial"/>
        <family val="2"/>
      </rPr>
      <t>FAIXA</t>
    </r>
  </si>
  <si>
    <t>c b =</t>
  </si>
  <si>
    <t>c t =</t>
  </si>
  <si>
    <t>c v =</t>
  </si>
  <si>
    <t>( 0,65 x Lp + 0,65 x Lt + 0,55 x Lv )</t>
  </si>
  <si>
    <t>( 0,65 x Lp + 0,65 x Lt )</t>
  </si>
  <si>
    <t>Talude</t>
  </si>
  <si>
    <t>L  =</t>
  </si>
  <si>
    <t>Lt  =</t>
  </si>
  <si>
    <r>
      <t>Tangente -Contribuição = Área do Canteiro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+ eventualmente em duplicação com aproveitamento da pista existente considerar a contribuição de 1/2 pista)</t>
    </r>
  </si>
  <si>
    <r>
      <t>Curva - Contribuição = pista + canteiro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+ eventualmente 1/2 pista existente</t>
    </r>
  </si>
  <si>
    <r>
      <t xml:space="preserve">C </t>
    </r>
    <r>
      <rPr>
        <sz val="9"/>
        <color indexed="10"/>
        <rFont val="Arial"/>
        <family val="2"/>
      </rPr>
      <t>pn</t>
    </r>
    <r>
      <rPr>
        <sz val="10"/>
        <color indexed="10"/>
        <rFont val="Arial"/>
        <family val="2"/>
      </rPr>
      <t xml:space="preserve"> =</t>
    </r>
  </si>
  <si>
    <r>
      <t xml:space="preserve">C </t>
    </r>
    <r>
      <rPr>
        <sz val="9"/>
        <color indexed="10"/>
        <rFont val="Arial"/>
        <family val="2"/>
      </rPr>
      <t>pe</t>
    </r>
    <r>
      <rPr>
        <sz val="10"/>
        <color indexed="10"/>
        <rFont val="Arial"/>
        <family val="2"/>
      </rPr>
      <t xml:space="preserve"> =</t>
    </r>
  </si>
  <si>
    <r>
      <t xml:space="preserve">C </t>
    </r>
    <r>
      <rPr>
        <sz val="9"/>
        <color indexed="10"/>
        <rFont val="Arial"/>
        <family val="2"/>
      </rPr>
      <t>cant.</t>
    </r>
    <r>
      <rPr>
        <sz val="10"/>
        <color indexed="10"/>
        <rFont val="Arial"/>
        <family val="2"/>
      </rPr>
      <t xml:space="preserve"> =</t>
    </r>
  </si>
  <si>
    <t>L pe =</t>
  </si>
  <si>
    <t>L pn =</t>
  </si>
  <si>
    <t>L cant. =</t>
  </si>
  <si>
    <t>(média)</t>
  </si>
  <si>
    <t>Talude do Canteiro</t>
  </si>
  <si>
    <t>T</t>
  </si>
  <si>
    <t>Com aproveitamento pista Existente</t>
  </si>
  <si>
    <t>Pista Existente</t>
  </si>
  <si>
    <t>Pista Nova</t>
  </si>
  <si>
    <t>1/2 pista</t>
  </si>
  <si>
    <t>pn + cant.+ 1/2 pe</t>
  </si>
  <si>
    <t xml:space="preserve">Largura da pista - em tangente ( m ) </t>
  </si>
  <si>
    <t xml:space="preserve">Largura da pista - em curva ( m ) </t>
  </si>
  <si>
    <t>(*) -  declividade na sarjeta - 1:4</t>
  </si>
  <si>
    <r>
      <t xml:space="preserve">TIPO:  MFC - 01 ( * )  -  </t>
    </r>
    <r>
      <rPr>
        <b/>
        <sz val="10"/>
        <color indexed="10"/>
        <rFont val="Arial"/>
        <family val="2"/>
      </rPr>
      <t>Modificado</t>
    </r>
  </si>
  <si>
    <t xml:space="preserve">TIPO:  MFC - 01 </t>
  </si>
  <si>
    <r>
      <t xml:space="preserve">TIPO:  MFC - EX      ( Bordo Externo )       </t>
    </r>
    <r>
      <rPr>
        <b/>
        <sz val="9"/>
        <color indexed="10"/>
        <rFont val="Arial"/>
        <family val="2"/>
      </rPr>
      <t xml:space="preserve"> PISTA  EXISTENTE</t>
    </r>
  </si>
  <si>
    <r>
      <t xml:space="preserve">TIPO:  MFC - 01          ( Bordo Externo )       </t>
    </r>
    <r>
      <rPr>
        <b/>
        <sz val="9"/>
        <color indexed="10"/>
        <rFont val="Arial"/>
        <family val="2"/>
      </rPr>
      <t xml:space="preserve"> PISTA  NOVA</t>
    </r>
  </si>
  <si>
    <t>COMPRIMENTO  CRÍTICO  DE  SARJETA  EM  BERMA  DE  ATERRO</t>
  </si>
  <si>
    <t>COMPRIMENTO  CRÍTICO  DE  SARJETA  EM  BERMA  DE  CORTE</t>
  </si>
  <si>
    <t>0,30  m</t>
  </si>
  <si>
    <t xml:space="preserve">Área = </t>
  </si>
  <si>
    <t>b * y</t>
  </si>
  <si>
    <t>y</t>
  </si>
  <si>
    <t xml:space="preserve">Perímetro = </t>
  </si>
  <si>
    <t>b +</t>
  </si>
  <si>
    <t>y²</t>
  </si>
  <si>
    <t>SUDECAP pag 128</t>
  </si>
  <si>
    <r>
      <t>d</t>
    </r>
    <r>
      <rPr>
        <vertAlign val="subscript"/>
        <sz val="11"/>
        <rFont val="Arial"/>
        <family val="2"/>
      </rPr>
      <t>c</t>
    </r>
  </si>
  <si>
    <t>0,15m</t>
  </si>
  <si>
    <t>Altura  Crítica</t>
  </si>
  <si>
    <t>D</t>
  </si>
  <si>
    <r>
      <t>Seção Circular       dc = 0,483 * (Q/D)</t>
    </r>
    <r>
      <rPr>
        <vertAlign val="superscript"/>
        <sz val="10"/>
        <rFont val="Arial"/>
        <family val="2"/>
      </rPr>
      <t>2/3</t>
    </r>
    <r>
      <rPr>
        <sz val="10"/>
        <rFont val="Arial"/>
        <family val="0"/>
      </rPr>
      <t xml:space="preserve"> + 0,083 * D</t>
    </r>
  </si>
  <si>
    <t>Validade</t>
  </si>
  <si>
    <t>8/3</t>
  </si>
  <si>
    <r>
      <t>³ (</t>
    </r>
    <r>
      <rPr>
        <b/>
        <sz val="13.5"/>
        <rFont val="Arial"/>
        <family val="0"/>
      </rPr>
      <t xml:space="preserve">dc/D) </t>
    </r>
    <r>
      <rPr>
        <b/>
        <sz val="13.5"/>
        <rFont val="Symbol"/>
        <family val="1"/>
      </rPr>
      <t>³</t>
    </r>
  </si>
  <si>
    <t>dc / D</t>
  </si>
  <si>
    <t>0,12  m</t>
  </si>
  <si>
    <t>( p</t>
  </si>
  <si>
    <r>
      <t xml:space="preserve">r ² ) / </t>
    </r>
    <r>
      <rPr>
        <sz val="10"/>
        <rFont val="Arial"/>
        <family val="2"/>
      </rPr>
      <t>2</t>
    </r>
  </si>
  <si>
    <t xml:space="preserve"> p</t>
  </si>
  <si>
    <t>r</t>
  </si>
  <si>
    <t>Meia Calha</t>
  </si>
  <si>
    <r>
      <t xml:space="preserve">Q </t>
    </r>
    <r>
      <rPr>
        <vertAlign val="subscript"/>
        <sz val="10"/>
        <rFont val="Arial"/>
        <family val="2"/>
      </rPr>
      <t xml:space="preserve">c   -  </t>
    </r>
    <r>
      <rPr>
        <sz val="8"/>
        <rFont val="Arial"/>
        <family val="2"/>
      </rPr>
      <t>Vazão Crítica</t>
    </r>
  </si>
  <si>
    <t>MICHELIN pag 59</t>
  </si>
  <si>
    <r>
      <t xml:space="preserve">Q </t>
    </r>
    <r>
      <rPr>
        <b/>
        <vertAlign val="subscript"/>
        <sz val="11"/>
        <rFont val="Arial"/>
        <family val="2"/>
      </rPr>
      <t>c</t>
    </r>
    <r>
      <rPr>
        <sz val="11"/>
        <rFont val="Arial"/>
        <family val="2"/>
      </rPr>
      <t xml:space="preserve"> -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Vazão Crítica =</t>
    </r>
  </si>
  <si>
    <t>A * Raiz (g * y )</t>
  </si>
  <si>
    <t xml:space="preserve">TIPO:  MFC - 01          </t>
  </si>
  <si>
    <t>( Pista  Dupla )</t>
  </si>
  <si>
    <t>l 2=</t>
  </si>
  <si>
    <t>Q (m³/s)</t>
  </si>
  <si>
    <t>v (m/s)</t>
  </si>
  <si>
    <t>A1 n =</t>
  </si>
  <si>
    <t xml:space="preserve">A n = </t>
  </si>
  <si>
    <t>A2 n =</t>
  </si>
  <si>
    <t xml:space="preserve">A2 n = </t>
  </si>
  <si>
    <t>A n =</t>
  </si>
  <si>
    <t>h n =</t>
  </si>
  <si>
    <t xml:space="preserve">      h:v</t>
  </si>
  <si>
    <t>B n =</t>
  </si>
  <si>
    <t>B n</t>
  </si>
  <si>
    <t>C n</t>
  </si>
  <si>
    <t>C n =</t>
  </si>
  <si>
    <t>A molhada =</t>
  </si>
  <si>
    <t>P molhado =</t>
  </si>
  <si>
    <t>d</t>
  </si>
  <si>
    <t>B n (m/m)</t>
  </si>
  <si>
    <t>i  (m/m)</t>
  </si>
  <si>
    <t>i  (%)</t>
  </si>
  <si>
    <t>º</t>
  </si>
  <si>
    <t xml:space="preserve"> ' </t>
  </si>
  <si>
    <t>"</t>
  </si>
  <si>
    <t>Seno</t>
  </si>
  <si>
    <t>C =</t>
  </si>
  <si>
    <t>B =</t>
  </si>
  <si>
    <t>Decimal</t>
  </si>
  <si>
    <t>Graus</t>
  </si>
  <si>
    <t>Radianos</t>
  </si>
  <si>
    <t xml:space="preserve">arc Tg </t>
  </si>
  <si>
    <t>c</t>
  </si>
  <si>
    <t>A =</t>
  </si>
  <si>
    <t>Â = (Decimal)</t>
  </si>
  <si>
    <r>
      <t xml:space="preserve">  h</t>
    </r>
    <r>
      <rPr>
        <sz val="8"/>
        <rFont val="Arial"/>
        <family val="2"/>
      </rPr>
      <t xml:space="preserve"> n</t>
    </r>
  </si>
  <si>
    <t xml:space="preserve">S A R J E T A S </t>
  </si>
  <si>
    <t>SCC-50/20</t>
  </si>
  <si>
    <t>SCA-60/20</t>
  </si>
  <si>
    <t xml:space="preserve">V A L E T A S </t>
  </si>
  <si>
    <t xml:space="preserve">b' </t>
  </si>
  <si>
    <t>1/n</t>
  </si>
  <si>
    <t>Tipo</t>
  </si>
  <si>
    <t>DER-MG</t>
  </si>
  <si>
    <t>VP-0X</t>
  </si>
  <si>
    <t>VPA</t>
  </si>
  <si>
    <t>1/1</t>
  </si>
  <si>
    <t>cb =</t>
  </si>
  <si>
    <t>ct  =</t>
  </si>
  <si>
    <t>B</t>
  </si>
  <si>
    <t>Aeroporto de Diamantina</t>
  </si>
  <si>
    <t>TIPO:    SARJETÃO</t>
  </si>
  <si>
    <t>L</t>
  </si>
  <si>
    <t>SCA-40/15</t>
  </si>
  <si>
    <t>SCA-50/15</t>
  </si>
  <si>
    <t>SCA-50/20</t>
  </si>
  <si>
    <t>SCA-60/15</t>
  </si>
  <si>
    <t>SCC-50/15</t>
  </si>
  <si>
    <t>SCC-60/15</t>
  </si>
  <si>
    <t>SCC-60/20</t>
  </si>
  <si>
    <t>SCC-70/15</t>
  </si>
  <si>
    <t>SCC-70/20</t>
  </si>
  <si>
    <t>SBA=SBC-01</t>
  </si>
  <si>
    <t>NOVO PROJETO TIPO</t>
  </si>
  <si>
    <t>SBA=SBC-02</t>
  </si>
  <si>
    <t>CANAL  RETANGULAR</t>
  </si>
  <si>
    <t>TIPO:  SCA-50/15</t>
  </si>
  <si>
    <t>l 3=</t>
  </si>
  <si>
    <t>l 4=</t>
  </si>
  <si>
    <r>
      <t xml:space="preserve">      </t>
    </r>
    <r>
      <rPr>
        <sz val="10"/>
        <rFont val="Arial"/>
        <family val="2"/>
      </rPr>
      <t>/  (</t>
    </r>
  </si>
  <si>
    <t xml:space="preserve"> x Lp )</t>
  </si>
  <si>
    <t>TIPO:  SCC - 70/15</t>
  </si>
  <si>
    <r>
      <t xml:space="preserve">      </t>
    </r>
    <r>
      <rPr>
        <sz val="9"/>
        <rFont val="Arial"/>
        <family val="2"/>
      </rPr>
      <t>/   (</t>
    </r>
  </si>
  <si>
    <t>x Lp +</t>
  </si>
  <si>
    <t>x Lt +</t>
  </si>
  <si>
    <t xml:space="preserve">x Lv </t>
  </si>
  <si>
    <t>)</t>
  </si>
  <si>
    <r>
      <t>3</t>
    </r>
    <r>
      <rPr>
        <vertAlign val="superscript"/>
        <sz val="10"/>
        <rFont val="Arial"/>
        <family val="2"/>
      </rPr>
      <t>as</t>
    </r>
    <r>
      <rPr>
        <sz val="10"/>
        <rFont val="Arial"/>
        <family val="2"/>
      </rPr>
      <t xml:space="preserve"> Faixas Tangente</t>
    </r>
  </si>
  <si>
    <r>
      <t>3</t>
    </r>
    <r>
      <rPr>
        <vertAlign val="superscript"/>
        <sz val="10"/>
        <rFont val="Arial"/>
        <family val="2"/>
      </rPr>
      <t>as</t>
    </r>
    <r>
      <rPr>
        <sz val="10"/>
        <rFont val="Arial"/>
        <family val="2"/>
      </rPr>
      <t xml:space="preserve"> Faixas Curva</t>
    </r>
  </si>
  <si>
    <r>
      <t>Largura da pista - 3</t>
    </r>
    <r>
      <rPr>
        <vertAlign val="superscript"/>
        <sz val="10"/>
        <rFont val="Arial"/>
        <family val="2"/>
      </rPr>
      <t>as</t>
    </r>
    <r>
      <rPr>
        <sz val="10"/>
        <rFont val="Arial"/>
        <family val="0"/>
      </rPr>
      <t xml:space="preserve"> Faixas em tangente ( m ) </t>
    </r>
  </si>
  <si>
    <r>
      <t>Largura da pista - 3</t>
    </r>
    <r>
      <rPr>
        <vertAlign val="superscript"/>
        <sz val="10"/>
        <rFont val="Arial"/>
        <family val="2"/>
      </rPr>
      <t>as</t>
    </r>
    <r>
      <rPr>
        <sz val="10"/>
        <rFont val="Arial"/>
        <family val="0"/>
      </rPr>
      <t xml:space="preserve"> Faixas em curva ( m ) </t>
    </r>
  </si>
  <si>
    <t>COMPRIMENTO  CRÍTICO  DE  SARJETA  DE  BANQUETA  EM  ATERRO</t>
  </si>
  <si>
    <t>TIPO:  SBA - 02</t>
  </si>
  <si>
    <t xml:space="preserve">x Lb </t>
  </si>
  <si>
    <t xml:space="preserve">Largura da banqueta ( m ) </t>
  </si>
  <si>
    <t>x Lb +</t>
  </si>
  <si>
    <t>Ferrovia Patrocínio</t>
  </si>
  <si>
    <t>Macaúbas - Patrocínio</t>
  </si>
  <si>
    <t>COMPRIMENTO  CRÍTICO DE SARJETA DE PLATAFORMA</t>
  </si>
  <si>
    <t>( em Corte )</t>
  </si>
  <si>
    <t>TIPO:  SPC</t>
  </si>
  <si>
    <t>Catalão - GO</t>
  </si>
  <si>
    <t xml:space="preserve">Largura da Sem-Plataforma ( m ) </t>
  </si>
  <si>
    <t>Qc (m)</t>
  </si>
  <si>
    <t>Extensão</t>
  </si>
  <si>
    <t>( por m )</t>
  </si>
  <si>
    <t>Contribuinte</t>
  </si>
  <si>
    <t>Específica</t>
  </si>
  <si>
    <t>COMPRIMENTO  CRÍTICO DE CANALETA</t>
  </si>
  <si>
    <t>COMPRIMENTO  CRÍTICO DE CANALETA DE CORTE</t>
  </si>
  <si>
    <t>TIPO:  1/2 CALHA Ø 0,30 m</t>
  </si>
  <si>
    <r>
      <t xml:space="preserve">r </t>
    </r>
    <r>
      <rPr>
        <sz val="9"/>
        <rFont val="Arial"/>
        <family val="2"/>
      </rPr>
      <t>(m)</t>
    </r>
  </si>
  <si>
    <r>
      <t xml:space="preserve">( p     </t>
    </r>
    <r>
      <rPr>
        <sz val="10"/>
        <rFont val="Arial"/>
        <family val="2"/>
      </rPr>
      <t>x</t>
    </r>
  </si>
  <si>
    <t>r ) / 2</t>
  </si>
  <si>
    <t>(  0,65 x Lt + 0,40 x Lv )</t>
  </si>
  <si>
    <t>Declividade da canaleta ( % )</t>
  </si>
  <si>
    <r>
      <t xml:space="preserve">2 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 xml:space="preserve">(   p    </t>
    </r>
    <r>
      <rPr>
        <sz val="10"/>
        <rFont val="Arial"/>
        <family val="2"/>
      </rPr>
      <t>x</t>
    </r>
  </si>
  <si>
    <t xml:space="preserve">RODOVIA : </t>
  </si>
  <si>
    <t xml:space="preserve">TRECHO: </t>
  </si>
  <si>
    <t xml:space="preserve">SUBTRECHO: </t>
  </si>
  <si>
    <t>BARBACENA-MG</t>
  </si>
  <si>
    <t>Q=</t>
  </si>
  <si>
    <t>Q =</t>
  </si>
  <si>
    <t>0,278 x C x I x A</t>
  </si>
  <si>
    <t>Constante</t>
  </si>
  <si>
    <t>C - Coeficiente</t>
  </si>
  <si>
    <t>I - Intensidade</t>
  </si>
  <si>
    <t>A - Área</t>
  </si>
  <si>
    <t>Considerando tc= 5minutos</t>
  </si>
  <si>
    <t>km²</t>
  </si>
  <si>
    <t>Vazão Contribuiente</t>
  </si>
  <si>
    <t>Capacidade de Vazão do Dispositivo</t>
  </si>
  <si>
    <t>43º28'38''</t>
  </si>
  <si>
    <t>TIPO:  SCA - 50/20</t>
  </si>
  <si>
    <t>COMPRIMENTO CRÍTICO  DE  VALETA  DE  PROTEÇÃO  DE  ATERRO</t>
  </si>
  <si>
    <t xml:space="preserve">TIPO:  VPA </t>
  </si>
  <si>
    <t>( TERRENO NATURAL )</t>
  </si>
  <si>
    <t>( Concreto )  n  =</t>
  </si>
  <si>
    <t>( Gramado )  n  =</t>
  </si>
  <si>
    <t>( Terra Nua )  n  =</t>
  </si>
  <si>
    <t>( Talude Gramado ) C =</t>
  </si>
  <si>
    <t>( Terreno Natural ) C =</t>
  </si>
  <si>
    <t xml:space="preserve"> C =</t>
  </si>
  <si>
    <t xml:space="preserve">de </t>
  </si>
  <si>
    <t xml:space="preserve"> ADOTADO  C =</t>
  </si>
  <si>
    <t>Contribuição</t>
  </si>
  <si>
    <r>
      <t xml:space="preserve">      </t>
    </r>
    <r>
      <rPr>
        <sz val="9"/>
        <rFont val="Arial"/>
        <family val="2"/>
      </rPr>
      <t>/     (</t>
    </r>
  </si>
  <si>
    <t>Declividade da valeta ( % )</t>
  </si>
  <si>
    <t xml:space="preserve">Faixa de contribuição   ( m ) </t>
  </si>
  <si>
    <t>Coeficiente ponderado de escoamento(talude-terreno natural)</t>
  </si>
  <si>
    <t>COMPRIMENTO CRÍTICO DE  VALETA  DE  PROTEÇÃO DE CORTE</t>
  </si>
  <si>
    <t xml:space="preserve"> 0,278 x I x L x (Lpxcp + Ltxct + Lvxcv )</t>
  </si>
  <si>
    <t>Coeficiente de escoamento ( terreno natural )</t>
  </si>
  <si>
    <t xml:space="preserve">TIPO:  VP - 03 ( 75 x 50 ) </t>
  </si>
  <si>
    <t>( REVESTIMENTO : CONCRETO )</t>
  </si>
  <si>
    <t>TIPO:  SCC - 50/15</t>
  </si>
  <si>
    <t>TIPO:  SCC - 50/10</t>
  </si>
  <si>
    <r>
      <t xml:space="preserve">10 </t>
    </r>
    <r>
      <rPr>
        <vertAlign val="superscript"/>
        <sz val="12"/>
        <color indexed="12"/>
        <rFont val="Arial"/>
        <family val="2"/>
      </rPr>
      <t>-6</t>
    </r>
  </si>
  <si>
    <r>
      <t xml:space="preserve"> x L 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)</t>
    </r>
  </si>
  <si>
    <r>
      <t>L</t>
    </r>
    <r>
      <rPr>
        <vertAlign val="subscript"/>
        <sz val="10"/>
        <rFont val="Arial"/>
        <family val="2"/>
      </rPr>
      <t xml:space="preserve"> v </t>
    </r>
    <r>
      <rPr>
        <sz val="10"/>
        <rFont val="Arial"/>
        <family val="2"/>
      </rPr>
      <t xml:space="preserve">= </t>
    </r>
  </si>
  <si>
    <r>
      <t>C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= </t>
    </r>
  </si>
  <si>
    <r>
      <t>Rh</t>
    </r>
    <r>
      <rPr>
        <vertAlign val="superscript"/>
        <sz val="10"/>
        <rFont val="Arial"/>
        <family val="2"/>
      </rPr>
      <t>2/3</t>
    </r>
  </si>
  <si>
    <r>
      <t xml:space="preserve">10 </t>
    </r>
    <r>
      <rPr>
        <vertAlign val="superscript"/>
        <sz val="12"/>
        <rFont val="Arial"/>
        <family val="2"/>
      </rPr>
      <t>-6</t>
    </r>
  </si>
  <si>
    <r>
      <t>K</t>
    </r>
    <r>
      <rPr>
        <vertAlign val="subscript"/>
        <sz val="10"/>
        <rFont val="Arial"/>
        <family val="2"/>
      </rPr>
      <t>2 x</t>
    </r>
  </si>
  <si>
    <r>
      <t>( K1 /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  <r>
      <rPr>
        <vertAlign val="subscript"/>
        <sz val="10"/>
        <rFont val="Arial"/>
        <family val="2"/>
      </rPr>
      <t xml:space="preserve"> x</t>
    </r>
    <r>
      <rPr>
        <b/>
        <sz val="11"/>
        <rFont val="Arial"/>
        <family val="2"/>
      </rPr>
      <t xml:space="preserve">10 </t>
    </r>
    <r>
      <rPr>
        <b/>
        <vertAlign val="superscript"/>
        <sz val="11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</si>
  <si>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</si>
  <si>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</si>
  <si>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São Luís Ma</t>
  </si>
  <si>
    <t>TERMINAL FERROVIÁRIO DA PONTA DA MADEIRA</t>
  </si>
  <si>
    <t xml:space="preserve">PÁTIO DE RECEPÇÃO, CLASSIFICAÇÃO E FORMAÇÃO </t>
  </si>
  <si>
    <t>São Luís -   MA</t>
  </si>
  <si>
    <t>CONCRETO</t>
  </si>
  <si>
    <t>São Luís  - MA</t>
  </si>
  <si>
    <t>COMPRIMENTO  CRÍTICO  DE  VALETA  DE  BANQUETA  EM  CORTE E ATERRO</t>
  </si>
  <si>
    <t>TIPO:  MF-02</t>
  </si>
  <si>
    <t>TIPO:  CANAL 50 x VAR.</t>
  </si>
  <si>
    <t>COMPRIMENTO  CRÍTICO DA CANALETA ENTRE VIAS</t>
  </si>
  <si>
    <t>COMPRIMENTO  CRÍTICO DA CANALETA PÉ DO CORTE</t>
  </si>
  <si>
    <t>COMPRIMENTO  CRÍTICO DA VALETA DE PÉ DE CORTE</t>
  </si>
  <si>
    <t>Área mínima</t>
  </si>
  <si>
    <t>ALTURA FINAL</t>
  </si>
  <si>
    <t xml:space="preserve"> 0,50 x 0,15 (bxh)</t>
  </si>
  <si>
    <t xml:space="preserve">0,80 x 0,30 (bxh) </t>
  </si>
  <si>
    <t xml:space="preserve">VAL. TRIANGULAR </t>
  </si>
  <si>
    <t>0,50 x 0,35 (bxh)</t>
  </si>
  <si>
    <t>CONCLUSÃO</t>
  </si>
  <si>
    <t>COMP.CRITICO</t>
  </si>
  <si>
    <t xml:space="preserve">DECLIV. FUNDO </t>
  </si>
  <si>
    <t>COMP.DE PROJ.</t>
  </si>
  <si>
    <t>DIMENSÕES</t>
  </si>
  <si>
    <t>TIPOS</t>
  </si>
  <si>
    <t>DIMENSÕES FINAL</t>
  </si>
  <si>
    <t>0,50 x 0,55 (bxh)</t>
  </si>
  <si>
    <t xml:space="preserve"> 0,50 x 0,35 (bxh)</t>
  </si>
  <si>
    <t>0,35 x 0,45 x 1,25</t>
  </si>
  <si>
    <t xml:space="preserve">0,35 x 0,25 x 0,85 </t>
  </si>
  <si>
    <t>1,34 x 0,30 (bxh)</t>
  </si>
  <si>
    <t>VAL.TRAPEZ.-Talude 1:1</t>
  </si>
  <si>
    <t>São Luís - MA</t>
  </si>
  <si>
    <t xml:space="preserve"> CANAL  RETANGULAR</t>
  </si>
  <si>
    <t>TIPO:  VZC-01 - 0,30 x 0,30 (bxh)</t>
  </si>
  <si>
    <t>TIPO:  VALETA TRAPEZOIDAL 0,40 x 0,40 (bxh) Talude 1:1</t>
  </si>
  <si>
    <t>TIPO:  SARJETA TRIANGULAR DE CONCRETO STC 07</t>
  </si>
  <si>
    <t>COMPRIMENTO CRÍTICO DE  VALETA  DE  PROTEÇÃO DE CORTE E ATERRO</t>
  </si>
  <si>
    <t>TIPO:  VPC/VPA - 04</t>
  </si>
  <si>
    <t xml:space="preserve">  </t>
  </si>
  <si>
    <t>TIPO:  CANAL - 0,35 x 0,50 (bxh)</t>
  </si>
  <si>
    <t xml:space="preserve">COMPRIMENTO CRÍTICO DE  VALETA  </t>
  </si>
  <si>
    <t>TIPO:  VALETA TRAPEZOIDAL  VZC -02 - (0,40 x 0,30 (bxh) Talude 1:1)</t>
  </si>
  <si>
    <t>REMODELAÇÃO E DESVIOS FERROVIÁRIOS</t>
  </si>
  <si>
    <t>PÁTIO 07</t>
  </si>
  <si>
    <t>TIPO:  VPC - 03</t>
  </si>
  <si>
    <t>TIPO:  CRG - 01 - 0,35 x 0,50 (bxh)</t>
  </si>
  <si>
    <t>Belo Horizonte - MG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</si>
</sst>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0.0000"/>
    <numFmt numFmtId="175" formatCode="0.000"/>
    <numFmt numFmtId="176" formatCode="0.0"/>
    <numFmt numFmtId="177" formatCode="#,##0.0"/>
    <numFmt numFmtId="178" formatCode="0.000000"/>
    <numFmt numFmtId="179" formatCode="0.00000"/>
    <numFmt numFmtId="180" formatCode="0.0000000000"/>
    <numFmt numFmtId="181" formatCode="0.0000000"/>
    <numFmt numFmtId="182" formatCode="#,##0.00000000000"/>
    <numFmt numFmtId="183" formatCode="#,##0.00000000"/>
    <numFmt numFmtId="184" formatCode="00"/>
    <numFmt numFmtId="185" formatCode="h:mm:ss"/>
    <numFmt numFmtId="186" formatCode="_-* #,##0.000000_-;\-* #,##0.000000_-;_-* &quot;-&quot;??_-;_-@_-"/>
    <numFmt numFmtId="187" formatCode="##.0000"/>
    <numFmt numFmtId="188" formatCode="0.00000000000"/>
  </numFmts>
  <fonts count="10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Symbol"/>
      <family val="1"/>
    </font>
    <font>
      <sz val="10"/>
      <color indexed="12"/>
      <name val="Symbol"/>
      <family val="1"/>
    </font>
    <font>
      <sz val="10"/>
      <color indexed="14"/>
      <name val="Arial"/>
      <family val="2"/>
    </font>
    <font>
      <sz val="12"/>
      <color indexed="12"/>
      <name val="Arial"/>
      <family val="2"/>
    </font>
    <font>
      <vertAlign val="subscript"/>
      <sz val="10"/>
      <color indexed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bscript"/>
      <sz val="10"/>
      <name val="Arial"/>
      <family val="2"/>
    </font>
    <font>
      <b/>
      <sz val="11"/>
      <color indexed="53"/>
      <name val="Arial"/>
      <family val="2"/>
    </font>
    <font>
      <b/>
      <vertAlign val="superscript"/>
      <sz val="11"/>
      <color indexed="53"/>
      <name val="Arial"/>
      <family val="2"/>
    </font>
    <font>
      <vertAlign val="subscript"/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10"/>
      <name val="Arial"/>
      <family val="2"/>
    </font>
    <font>
      <sz val="9"/>
      <name val="Bookman Old Style"/>
      <family val="1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14"/>
      <name val="Arial"/>
      <family val="2"/>
    </font>
    <font>
      <sz val="11"/>
      <color indexed="10"/>
      <name val="Symbol"/>
      <family val="1"/>
    </font>
    <font>
      <sz val="11"/>
      <color indexed="10"/>
      <name val="Arial"/>
      <family val="2"/>
    </font>
    <font>
      <sz val="6"/>
      <color indexed="10"/>
      <name val="Arial"/>
      <family val="2"/>
    </font>
    <font>
      <sz val="11"/>
      <color indexed="12"/>
      <name val="Symbol"/>
      <family val="1"/>
    </font>
    <font>
      <sz val="11"/>
      <color indexed="12"/>
      <name val="Arial"/>
      <family val="2"/>
    </font>
    <font>
      <sz val="6"/>
      <color indexed="12"/>
      <name val="Arial"/>
      <family val="2"/>
    </font>
    <font>
      <b/>
      <sz val="9"/>
      <name val="Arial"/>
      <family val="2"/>
    </font>
    <font>
      <sz val="11"/>
      <name val="Symbol"/>
      <family val="1"/>
    </font>
    <font>
      <sz val="6"/>
      <name val="Arial"/>
      <family val="2"/>
    </font>
    <font>
      <vertAlign val="superscript"/>
      <sz val="10"/>
      <color indexed="12"/>
      <name val="Arial"/>
      <family val="2"/>
    </font>
    <font>
      <sz val="9"/>
      <color indexed="8"/>
      <name val="Arial"/>
      <family val="2"/>
    </font>
    <font>
      <strike/>
      <sz val="8"/>
      <color indexed="9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vertAlign val="subscript"/>
      <sz val="11"/>
      <name val="Arial"/>
      <family val="2"/>
    </font>
    <font>
      <vertAlign val="superscript"/>
      <sz val="10"/>
      <name val="Arial"/>
      <family val="2"/>
    </font>
    <font>
      <b/>
      <sz val="13.5"/>
      <name val="Symbol"/>
      <family val="1"/>
    </font>
    <font>
      <b/>
      <sz val="13.5"/>
      <name val="Arial"/>
      <family val="0"/>
    </font>
    <font>
      <b/>
      <sz val="16"/>
      <name val="Symbol"/>
      <family val="1"/>
    </font>
    <font>
      <b/>
      <sz val="16"/>
      <name val="Arial"/>
      <family val="2"/>
    </font>
    <font>
      <b/>
      <vertAlign val="subscript"/>
      <sz val="11"/>
      <name val="Arial"/>
      <family val="2"/>
    </font>
    <font>
      <sz val="8"/>
      <color indexed="23"/>
      <name val="Arial"/>
      <family val="2"/>
    </font>
    <font>
      <sz val="8"/>
      <color indexed="55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sz val="10"/>
      <name val="Bookman Old Style"/>
      <family val="1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9"/>
      <color indexed="46"/>
      <name val="Arial"/>
      <family val="2"/>
    </font>
    <font>
      <vertAlign val="superscript"/>
      <sz val="12"/>
      <color indexed="12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indexed="5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10"/>
      </bottom>
    </border>
    <border>
      <left>
        <color indexed="63"/>
      </left>
      <right style="medium"/>
      <top>
        <color indexed="63"/>
      </top>
      <bottom style="dashDot">
        <color indexed="10"/>
      </bottom>
    </border>
    <border>
      <left>
        <color indexed="63"/>
      </left>
      <right style="dashDot">
        <color indexed="10"/>
      </right>
      <top style="dashDot">
        <color indexed="10"/>
      </top>
      <bottom>
        <color indexed="63"/>
      </bottom>
    </border>
    <border>
      <left>
        <color indexed="63"/>
      </left>
      <right style="dashDot">
        <color indexed="1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96" fillId="32" borderId="0" applyNumberFormat="0" applyBorder="0" applyAlignment="0" applyProtection="0"/>
    <xf numFmtId="0" fontId="97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5" fontId="9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1" fontId="9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41" xfId="0" applyFon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181" fontId="11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5" fontId="9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left" vertical="center"/>
    </xf>
    <xf numFmtId="175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18" fillId="0" borderId="46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18" fillId="0" borderId="49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0" fillId="33" borderId="48" xfId="0" applyFont="1" applyFill="1" applyBorder="1" applyAlignment="1">
      <alignment vertical="center"/>
    </xf>
    <xf numFmtId="0" fontId="23" fillId="33" borderId="47" xfId="0" applyFont="1" applyFill="1" applyBorder="1" applyAlignment="1">
      <alignment horizontal="right" vertical="center"/>
    </xf>
    <xf numFmtId="49" fontId="0" fillId="0" borderId="48" xfId="0" applyNumberFormat="1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49" fontId="0" fillId="0" borderId="44" xfId="0" applyNumberFormat="1" applyFont="1" applyBorder="1" applyAlignment="1">
      <alignment horizontal="center" vertical="center"/>
    </xf>
    <xf numFmtId="175" fontId="2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48" xfId="0" applyFont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175" fontId="3" fillId="0" borderId="0" xfId="0" applyNumberFormat="1" applyFont="1" applyBorder="1" applyAlignment="1">
      <alignment horizontal="center" vertical="center"/>
    </xf>
    <xf numFmtId="2" fontId="30" fillId="0" borderId="51" xfId="0" applyNumberFormat="1" applyFont="1" applyBorder="1" applyAlignment="1">
      <alignment horizontal="right" vertical="center"/>
    </xf>
    <xf numFmtId="0" fontId="37" fillId="0" borderId="52" xfId="0" applyFont="1" applyBorder="1" applyAlignment="1">
      <alignment vertical="center"/>
    </xf>
    <xf numFmtId="2" fontId="30" fillId="0" borderId="53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2" fontId="11" fillId="0" borderId="44" xfId="0" applyNumberFormat="1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3" fillId="0" borderId="5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5" fontId="4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5" fontId="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" fillId="0" borderId="41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11" fillId="0" borderId="41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175" fontId="11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5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 textRotation="90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6" fontId="3" fillId="0" borderId="60" xfId="0" applyNumberFormat="1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175" fontId="3" fillId="0" borderId="61" xfId="0" applyNumberFormat="1" applyFont="1" applyBorder="1" applyAlignment="1">
      <alignment horizontal="center" vertical="center"/>
    </xf>
    <xf numFmtId="175" fontId="3" fillId="0" borderId="62" xfId="0" applyNumberFormat="1" applyFont="1" applyBorder="1" applyAlignment="1">
      <alignment horizontal="center" vertical="center"/>
    </xf>
    <xf numFmtId="175" fontId="3" fillId="0" borderId="6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Fill="1" applyAlignment="1">
      <alignment/>
    </xf>
    <xf numFmtId="0" fontId="30" fillId="0" borderId="20" xfId="0" applyFont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right"/>
    </xf>
    <xf numFmtId="9" fontId="3" fillId="0" borderId="0" xfId="0" applyNumberFormat="1" applyFont="1" applyAlignment="1">
      <alignment vertical="center"/>
    </xf>
    <xf numFmtId="49" fontId="8" fillId="33" borderId="47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3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 indent="1"/>
    </xf>
    <xf numFmtId="2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 indent="1"/>
    </xf>
    <xf numFmtId="0" fontId="10" fillId="34" borderId="0" xfId="0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 indent="1"/>
    </xf>
    <xf numFmtId="2" fontId="5" fillId="34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left" vertical="center" indent="1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2" fontId="15" fillId="33" borderId="2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2" fontId="5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175" fontId="12" fillId="0" borderId="0" xfId="0" applyNumberFormat="1" applyFont="1" applyBorder="1" applyAlignment="1">
      <alignment vertical="center"/>
    </xf>
    <xf numFmtId="175" fontId="30" fillId="0" borderId="5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vertical="center"/>
    </xf>
    <xf numFmtId="2" fontId="12" fillId="0" borderId="50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5" fontId="47" fillId="0" borderId="0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5" fontId="4" fillId="0" borderId="24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2" fillId="0" borderId="42" xfId="0" applyNumberFormat="1" applyFont="1" applyFill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33" fillId="0" borderId="41" xfId="0" applyFont="1" applyFill="1" applyBorder="1" applyAlignment="1">
      <alignment horizontal="center" vertical="center"/>
    </xf>
    <xf numFmtId="175" fontId="47" fillId="0" borderId="0" xfId="0" applyNumberFormat="1" applyFont="1" applyFill="1" applyBorder="1" applyAlignment="1">
      <alignment horizontal="center" vertical="center"/>
    </xf>
    <xf numFmtId="175" fontId="47" fillId="0" borderId="42" xfId="0" applyNumberFormat="1" applyFont="1" applyFill="1" applyBorder="1" applyAlignment="1">
      <alignment horizontal="center" vertical="center"/>
    </xf>
    <xf numFmtId="4" fontId="33" fillId="0" borderId="41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2" fontId="47" fillId="0" borderId="4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indent="1"/>
    </xf>
    <xf numFmtId="0" fontId="0" fillId="0" borderId="63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56" fillId="36" borderId="49" xfId="0" applyFont="1" applyFill="1" applyBorder="1" applyAlignment="1">
      <alignment horizontal="center" vertical="center"/>
    </xf>
    <xf numFmtId="0" fontId="55" fillId="36" borderId="6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36" borderId="11" xfId="0" applyFill="1" applyBorder="1" applyAlignment="1">
      <alignment horizontal="right" vertical="center"/>
    </xf>
    <xf numFmtId="0" fontId="18" fillId="36" borderId="11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vertical="center"/>
    </xf>
    <xf numFmtId="0" fontId="0" fillId="36" borderId="39" xfId="0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23" fillId="0" borderId="43" xfId="0" applyFont="1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175" fontId="3" fillId="0" borderId="0" xfId="0" applyNumberFormat="1" applyFont="1" applyFill="1" applyBorder="1" applyAlignment="1">
      <alignment horizontal="center" vertical="center"/>
    </xf>
    <xf numFmtId="175" fontId="50" fillId="0" borderId="0" xfId="0" applyNumberFormat="1" applyFont="1" applyBorder="1" applyAlignment="1">
      <alignment horizontal="center" vertical="center"/>
    </xf>
    <xf numFmtId="175" fontId="3" fillId="0" borderId="39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vertical="center"/>
    </xf>
    <xf numFmtId="179" fontId="5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8" fontId="58" fillId="37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50" xfId="0" applyFont="1" applyBorder="1" applyAlignment="1" applyProtection="1">
      <alignment horizontal="center" vertical="center"/>
      <protection locked="0"/>
    </xf>
    <xf numFmtId="178" fontId="58" fillId="0" borderId="50" xfId="0" applyNumberFormat="1" applyFont="1" applyBorder="1" applyAlignment="1" applyProtection="1">
      <alignment horizontal="center" vertical="center"/>
      <protection locked="0"/>
    </xf>
    <xf numFmtId="175" fontId="5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2" fontId="58" fillId="0" borderId="48" xfId="0" applyNumberFormat="1" applyFont="1" applyBorder="1" applyAlignment="1" applyProtection="1">
      <alignment horizontal="left" vertical="center"/>
      <protection locked="0"/>
    </xf>
    <xf numFmtId="2" fontId="58" fillId="0" borderId="0" xfId="0" applyNumberFormat="1" applyFont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178" fontId="9" fillId="0" borderId="5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5" fillId="0" borderId="0" xfId="0" applyFont="1" applyBorder="1" applyAlignment="1" applyProtection="1">
      <alignment vertical="top"/>
      <protection locked="0"/>
    </xf>
    <xf numFmtId="2" fontId="9" fillId="0" borderId="0" xfId="0" applyNumberFormat="1" applyFont="1" applyBorder="1" applyAlignment="1" applyProtection="1">
      <alignment horizontal="center" vertical="center" textRotation="90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178" fontId="2" fillId="0" borderId="50" xfId="54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textRotation="120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8" fontId="2" fillId="0" borderId="12" xfId="54" applyNumberFormat="1" applyFont="1" applyBorder="1" applyAlignment="1" applyProtection="1">
      <alignment horizontal="center" vertical="center"/>
      <protection/>
    </xf>
    <xf numFmtId="174" fontId="15" fillId="0" borderId="50" xfId="54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7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186" fontId="58" fillId="0" borderId="0" xfId="54" applyNumberFormat="1" applyFont="1" applyBorder="1" applyAlignment="1" applyProtection="1">
      <alignment horizontal="center" vertical="center"/>
      <protection locked="0"/>
    </xf>
    <xf numFmtId="17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174" fontId="2" fillId="0" borderId="68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174" fontId="2" fillId="0" borderId="42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84" fontId="2" fillId="0" borderId="29" xfId="0" applyNumberFormat="1" applyFont="1" applyBorder="1" applyAlignment="1" applyProtection="1">
      <alignment vertical="center"/>
      <protection locked="0"/>
    </xf>
    <xf numFmtId="184" fontId="2" fillId="0" borderId="70" xfId="0" applyNumberFormat="1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184" fontId="2" fillId="0" borderId="27" xfId="0" applyNumberFormat="1" applyFont="1" applyBorder="1" applyAlignment="1" applyProtection="1">
      <alignment vertical="center"/>
      <protection locked="0"/>
    </xf>
    <xf numFmtId="184" fontId="2" fillId="0" borderId="71" xfId="0" applyNumberFormat="1" applyFont="1" applyBorder="1" applyAlignment="1" applyProtection="1">
      <alignment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184" fontId="2" fillId="0" borderId="28" xfId="0" applyNumberFormat="1" applyFont="1" applyBorder="1" applyAlignment="1" applyProtection="1">
      <alignment vertical="center"/>
      <protection locked="0"/>
    </xf>
    <xf numFmtId="184" fontId="2" fillId="0" borderId="60" xfId="0" applyNumberFormat="1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174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right" vertical="center"/>
      <protection locked="0"/>
    </xf>
    <xf numFmtId="179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174" fontId="15" fillId="0" borderId="68" xfId="0" applyNumberFormat="1" applyFont="1" applyFill="1" applyBorder="1" applyAlignment="1" applyProtection="1">
      <alignment horizontal="center" vertical="center"/>
      <protection locked="0"/>
    </xf>
    <xf numFmtId="174" fontId="2" fillId="0" borderId="68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79" fontId="9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2" fontId="30" fillId="0" borderId="0" xfId="0" applyNumberFormat="1" applyFont="1" applyFill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2" fontId="30" fillId="33" borderId="0" xfId="0" applyNumberFormat="1" applyFont="1" applyFill="1" applyBorder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174" fontId="3" fillId="0" borderId="6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174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174" fontId="3" fillId="0" borderId="28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3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175" fontId="0" fillId="0" borderId="29" xfId="0" applyNumberFormat="1" applyFill="1" applyBorder="1" applyAlignment="1">
      <alignment horizontal="center" vertical="center"/>
    </xf>
    <xf numFmtId="175" fontId="4" fillId="0" borderId="29" xfId="0" applyNumberFormat="1" applyFon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6" borderId="27" xfId="0" applyFill="1" applyBorder="1" applyAlignment="1">
      <alignment horizontal="left" vertical="center"/>
    </xf>
    <xf numFmtId="174" fontId="48" fillId="0" borderId="29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/>
    </xf>
    <xf numFmtId="0" fontId="0" fillId="36" borderId="27" xfId="0" applyFont="1" applyFill="1" applyBorder="1" applyAlignment="1">
      <alignment horizontal="left" vertical="center"/>
    </xf>
    <xf numFmtId="175" fontId="0" fillId="0" borderId="27" xfId="0" applyNumberFormat="1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/>
    </xf>
    <xf numFmtId="175" fontId="0" fillId="0" borderId="86" xfId="0" applyNumberFormat="1" applyFont="1" applyFill="1" applyBorder="1" applyAlignment="1">
      <alignment horizontal="center" vertical="center"/>
    </xf>
    <xf numFmtId="174" fontId="4" fillId="0" borderId="87" xfId="0" applyNumberFormat="1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75" fontId="0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74" fontId="4" fillId="0" borderId="29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75" fontId="0" fillId="0" borderId="27" xfId="0" applyNumberFormat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74" fontId="4" fillId="0" borderId="28" xfId="0" applyNumberFormat="1" applyFon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5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5" fontId="5" fillId="0" borderId="19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91" xfId="0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4" fillId="0" borderId="86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38" borderId="83" xfId="0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175" fontId="0" fillId="38" borderId="27" xfId="0" applyNumberFormat="1" applyFill="1" applyBorder="1" applyAlignment="1">
      <alignment horizontal="center" vertical="center"/>
    </xf>
    <xf numFmtId="175" fontId="60" fillId="38" borderId="27" xfId="0" applyNumberFormat="1" applyFont="1" applyFill="1" applyBorder="1" applyAlignment="1">
      <alignment horizontal="center" vertical="center"/>
    </xf>
    <xf numFmtId="175" fontId="61" fillId="38" borderId="29" xfId="0" applyNumberFormat="1" applyFont="1" applyFill="1" applyBorder="1" applyAlignment="1">
      <alignment horizontal="center" vertical="center"/>
    </xf>
    <xf numFmtId="0" fontId="60" fillId="38" borderId="50" xfId="0" applyFont="1" applyFill="1" applyBorder="1" applyAlignment="1">
      <alignment horizontal="center" vertical="center"/>
    </xf>
    <xf numFmtId="0" fontId="60" fillId="38" borderId="29" xfId="0" applyFont="1" applyFill="1" applyBorder="1" applyAlignment="1">
      <alignment horizontal="center" vertical="center"/>
    </xf>
    <xf numFmtId="0" fontId="60" fillId="38" borderId="27" xfId="0" applyFont="1" applyFill="1" applyBorder="1" applyAlignment="1">
      <alignment horizontal="center" vertical="center"/>
    </xf>
    <xf numFmtId="1" fontId="60" fillId="38" borderId="27" xfId="0" applyNumberFormat="1" applyFont="1" applyFill="1" applyBorder="1" applyAlignment="1">
      <alignment horizontal="center" vertical="center"/>
    </xf>
    <xf numFmtId="1" fontId="61" fillId="38" borderId="27" xfId="0" applyNumberFormat="1" applyFont="1" applyFill="1" applyBorder="1" applyAlignment="1">
      <alignment horizontal="center" vertical="center"/>
    </xf>
    <xf numFmtId="1" fontId="4" fillId="38" borderId="86" xfId="0" applyNumberFormat="1" applyFont="1" applyFill="1" applyBorder="1" applyAlignment="1">
      <alignment horizontal="center" vertical="center"/>
    </xf>
    <xf numFmtId="0" fontId="61" fillId="38" borderId="84" xfId="0" applyFont="1" applyFill="1" applyBorder="1" applyAlignment="1">
      <alignment horizontal="left" vertical="center"/>
    </xf>
    <xf numFmtId="0" fontId="61" fillId="38" borderId="27" xfId="0" applyFont="1" applyFill="1" applyBorder="1" applyAlignment="1">
      <alignment horizontal="left" vertical="center"/>
    </xf>
    <xf numFmtId="175" fontId="61" fillId="38" borderId="27" xfId="0" applyNumberFormat="1" applyFont="1" applyFill="1" applyBorder="1" applyAlignment="1">
      <alignment horizontal="center" vertical="center"/>
    </xf>
    <xf numFmtId="174" fontId="33" fillId="38" borderId="29" xfId="0" applyNumberFormat="1" applyFont="1" applyFill="1" applyBorder="1" applyAlignment="1">
      <alignment horizontal="center" vertical="center"/>
    </xf>
    <xf numFmtId="0" fontId="0" fillId="38" borderId="90" xfId="0" applyFill="1" applyBorder="1" applyAlignment="1">
      <alignment horizontal="left" vertical="center"/>
    </xf>
    <xf numFmtId="0" fontId="0" fillId="38" borderId="27" xfId="0" applyFill="1" applyBorder="1" applyAlignment="1">
      <alignment vertical="center"/>
    </xf>
    <xf numFmtId="175" fontId="9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50" xfId="0" applyNumberFormat="1" applyFont="1" applyFill="1" applyBorder="1" applyAlignment="1">
      <alignment horizontal="center" vertical="center" wrapText="1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0" borderId="4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44" xfId="0" applyNumberFormat="1" applyFont="1" applyFill="1" applyBorder="1" applyAlignment="1">
      <alignment horizontal="center" vertical="center"/>
    </xf>
    <xf numFmtId="1" fontId="2" fillId="39" borderId="58" xfId="0" applyNumberFormat="1" applyFont="1" applyFill="1" applyBorder="1" applyAlignment="1">
      <alignment horizontal="center" vertical="center"/>
    </xf>
    <xf numFmtId="1" fontId="2" fillId="39" borderId="32" xfId="0" applyNumberFormat="1" applyFont="1" applyFill="1" applyBorder="1" applyAlignment="1">
      <alignment horizontal="center" vertical="center"/>
    </xf>
    <xf numFmtId="1" fontId="2" fillId="39" borderId="92" xfId="0" applyNumberFormat="1" applyFont="1" applyFill="1" applyBorder="1" applyAlignment="1">
      <alignment horizontal="center" vertical="center"/>
    </xf>
    <xf numFmtId="174" fontId="48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40" borderId="0" xfId="0" applyFont="1" applyFill="1" applyAlignment="1">
      <alignment vertical="center"/>
    </xf>
    <xf numFmtId="2" fontId="2" fillId="40" borderId="0" xfId="0" applyNumberFormat="1" applyFont="1" applyFill="1" applyBorder="1" applyAlignment="1">
      <alignment horizontal="center" vertical="center"/>
    </xf>
    <xf numFmtId="178" fontId="2" fillId="39" borderId="93" xfId="0" applyNumberFormat="1" applyFont="1" applyFill="1" applyBorder="1" applyAlignment="1">
      <alignment horizontal="center" vertical="center"/>
    </xf>
    <xf numFmtId="178" fontId="2" fillId="39" borderId="94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justify"/>
    </xf>
    <xf numFmtId="0" fontId="0" fillId="36" borderId="4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2" fontId="30" fillId="0" borderId="48" xfId="0" applyNumberFormat="1" applyFont="1" applyBorder="1" applyAlignment="1">
      <alignment horizontal="center" vertical="center"/>
    </xf>
    <xf numFmtId="175" fontId="12" fillId="0" borderId="11" xfId="0" applyNumberFormat="1" applyFont="1" applyFill="1" applyBorder="1" applyAlignment="1">
      <alignment horizontal="center" vertical="center"/>
    </xf>
    <xf numFmtId="175" fontId="12" fillId="0" borderId="40" xfId="0" applyNumberFormat="1" applyFont="1" applyFill="1" applyBorder="1" applyAlignment="1">
      <alignment horizontal="center" vertical="center"/>
    </xf>
    <xf numFmtId="2" fontId="15" fillId="33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175" fontId="0" fillId="0" borderId="42" xfId="0" applyNumberForma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5" fontId="2" fillId="0" borderId="42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75" fontId="3" fillId="39" borderId="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175" fontId="3" fillId="0" borderId="57" xfId="0" applyNumberFormat="1" applyFont="1" applyFill="1" applyBorder="1" applyAlignment="1">
      <alignment horizontal="center" vertical="center"/>
    </xf>
    <xf numFmtId="175" fontId="3" fillId="0" borderId="58" xfId="0" applyNumberFormat="1" applyFont="1" applyFill="1" applyBorder="1" applyAlignment="1">
      <alignment horizontal="center" vertical="center"/>
    </xf>
    <xf numFmtId="175" fontId="3" fillId="39" borderId="58" xfId="0" applyNumberFormat="1" applyFont="1" applyFill="1" applyBorder="1" applyAlignment="1">
      <alignment horizontal="center" vertical="center"/>
    </xf>
    <xf numFmtId="175" fontId="3" fillId="0" borderId="59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2" fontId="3" fillId="0" borderId="95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39" borderId="3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2" fontId="3" fillId="39" borderId="41" xfId="0" applyNumberFormat="1" applyFont="1" applyFill="1" applyBorder="1" applyAlignment="1">
      <alignment horizontal="right" vertical="center"/>
    </xf>
    <xf numFmtId="0" fontId="3" fillId="0" borderId="68" xfId="0" applyFont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75" fontId="0" fillId="0" borderId="0" xfId="0" applyNumberForma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4" fontId="3" fillId="0" borderId="42" xfId="0" applyNumberFormat="1" applyFon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/>
    </xf>
    <xf numFmtId="21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0" fontId="63" fillId="0" borderId="39" xfId="0" applyFont="1" applyFill="1" applyBorder="1" applyAlignment="1">
      <alignment horizontal="center" vertical="center"/>
    </xf>
    <xf numFmtId="175" fontId="64" fillId="0" borderId="11" xfId="0" applyNumberFormat="1" applyFont="1" applyFill="1" applyBorder="1" applyAlignment="1">
      <alignment horizontal="center" vertical="center"/>
    </xf>
    <xf numFmtId="175" fontId="64" fillId="0" borderId="40" xfId="0" applyNumberFormat="1" applyFont="1" applyFill="1" applyBorder="1" applyAlignment="1">
      <alignment horizontal="center" vertical="center"/>
    </xf>
    <xf numFmtId="4" fontId="63" fillId="0" borderId="41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center" vertical="center"/>
    </xf>
    <xf numFmtId="2" fontId="64" fillId="0" borderId="42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8" fillId="33" borderId="48" xfId="0" applyFont="1" applyFill="1" applyBorder="1" applyAlignment="1">
      <alignment vertical="center"/>
    </xf>
    <xf numFmtId="0" fontId="1" fillId="33" borderId="48" xfId="0" applyFont="1" applyFill="1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33" borderId="47" xfId="0" applyNumberFormat="1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5" fontId="0" fillId="0" borderId="0" xfId="0" applyNumberFormat="1" applyAlignment="1">
      <alignment horizontal="left" vertical="center"/>
    </xf>
    <xf numFmtId="175" fontId="6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5" fillId="0" borderId="4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right" vertical="center"/>
    </xf>
    <xf numFmtId="2" fontId="68" fillId="39" borderId="4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0" fillId="0" borderId="2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vertical="center"/>
    </xf>
    <xf numFmtId="188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45" xfId="0" applyFont="1" applyBorder="1" applyAlignment="1">
      <alignment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4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47" xfId="0" applyFont="1" applyBorder="1" applyAlignment="1">
      <alignment horizontal="right" vertical="center"/>
    </xf>
    <xf numFmtId="0" fontId="0" fillId="0" borderId="49" xfId="0" applyFont="1" applyBorder="1" applyAlignment="1">
      <alignment horizontal="left" vertical="center"/>
    </xf>
    <xf numFmtId="49" fontId="50" fillId="33" borderId="47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75" fontId="2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5" fontId="0" fillId="0" borderId="0" xfId="0" applyNumberFormat="1" applyFont="1" applyAlignment="1">
      <alignment horizontal="left" vertical="center"/>
    </xf>
    <xf numFmtId="2" fontId="2" fillId="0" borderId="4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2" fontId="0" fillId="35" borderId="5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9" xfId="0" applyFont="1" applyBorder="1" applyAlignment="1">
      <alignment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5" fontId="6" fillId="0" borderId="0" xfId="0" applyNumberFormat="1" applyFont="1" applyFill="1" applyBorder="1" applyAlignment="1">
      <alignment horizontal="center" vertical="center"/>
    </xf>
    <xf numFmtId="175" fontId="6" fillId="0" borderId="4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Border="1" applyAlignment="1">
      <alignment horizontal="center"/>
    </xf>
    <xf numFmtId="10" fontId="0" fillId="0" borderId="43" xfId="0" applyNumberForma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176" fontId="0" fillId="0" borderId="2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49" fontId="3" fillId="0" borderId="39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right" vertical="center"/>
    </xf>
    <xf numFmtId="49" fontId="18" fillId="0" borderId="48" xfId="0" applyNumberFormat="1" applyFont="1" applyBorder="1" applyAlignment="1">
      <alignment horizontal="left" vertical="center"/>
    </xf>
    <xf numFmtId="49" fontId="18" fillId="0" borderId="4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9" fontId="0" fillId="0" borderId="4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6" fontId="0" fillId="0" borderId="97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98" xfId="0" applyNumberForma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65" fillId="0" borderId="4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44" xfId="0" applyFont="1" applyBorder="1" applyAlignment="1">
      <alignment horizontal="left" vertical="center"/>
    </xf>
    <xf numFmtId="0" fontId="67" fillId="0" borderId="4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0" fillId="0" borderId="99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0" fillId="0" borderId="41" xfId="0" applyNumberFormat="1" applyFont="1" applyFill="1" applyBorder="1" applyAlignment="1">
      <alignment horizontal="center" vertical="center"/>
    </xf>
    <xf numFmtId="176" fontId="0" fillId="0" borderId="97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98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76" fontId="0" fillId="0" borderId="99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2" fontId="0" fillId="0" borderId="97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99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2" fontId="0" fillId="0" borderId="98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2" fontId="0" fillId="0" borderId="97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0" fillId="0" borderId="99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0" fillId="0" borderId="98" xfId="0" applyNumberFormat="1" applyFon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98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3" fontId="3" fillId="0" borderId="100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101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102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0" fillId="39" borderId="97" xfId="0" applyNumberFormat="1" applyFont="1" applyFill="1" applyBorder="1" applyAlignment="1">
      <alignment horizontal="center" vertical="center"/>
    </xf>
    <xf numFmtId="2" fontId="0" fillId="39" borderId="5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5" fontId="3" fillId="0" borderId="97" xfId="0" applyNumberFormat="1" applyFont="1" applyFill="1" applyBorder="1" applyAlignment="1">
      <alignment horizontal="center" vertical="center"/>
    </xf>
    <xf numFmtId="175" fontId="3" fillId="0" borderId="55" xfId="0" applyNumberFormat="1" applyFont="1" applyFill="1" applyBorder="1" applyAlignment="1">
      <alignment horizontal="center" vertical="center"/>
    </xf>
    <xf numFmtId="175" fontId="3" fillId="0" borderId="98" xfId="0" applyNumberFormat="1" applyFont="1" applyFill="1" applyBorder="1" applyAlignment="1">
      <alignment horizontal="center" vertical="center"/>
    </xf>
    <xf numFmtId="175" fontId="3" fillId="0" borderId="56" xfId="0" applyNumberFormat="1" applyFont="1" applyFill="1" applyBorder="1" applyAlignment="1">
      <alignment horizontal="center" vertical="center"/>
    </xf>
    <xf numFmtId="175" fontId="3" fillId="0" borderId="99" xfId="0" applyNumberFormat="1" applyFont="1" applyFill="1" applyBorder="1" applyAlignment="1">
      <alignment horizontal="center" vertical="center"/>
    </xf>
    <xf numFmtId="175" fontId="3" fillId="0" borderId="54" xfId="0" applyNumberFormat="1" applyFont="1" applyFill="1" applyBorder="1" applyAlignment="1">
      <alignment horizontal="center" vertical="center"/>
    </xf>
    <xf numFmtId="2" fontId="3" fillId="0" borderId="99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97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49" xfId="0" applyFont="1" applyFill="1" applyBorder="1" applyAlignment="1">
      <alignment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6" fontId="3" fillId="0" borderId="100" xfId="0" applyNumberFormat="1" applyFont="1" applyFill="1" applyBorder="1" applyAlignment="1">
      <alignment horizontal="center" vertical="center" textRotation="90" wrapText="1"/>
    </xf>
    <xf numFmtId="176" fontId="3" fillId="0" borderId="56" xfId="0" applyNumberFormat="1" applyFont="1" applyFill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174" fontId="3" fillId="0" borderId="47" xfId="0" applyNumberFormat="1" applyFont="1" applyBorder="1" applyAlignment="1">
      <alignment horizontal="center" vertical="center"/>
    </xf>
    <xf numFmtId="174" fontId="3" fillId="0" borderId="48" xfId="0" applyNumberFormat="1" applyFont="1" applyBorder="1" applyAlignment="1">
      <alignment horizontal="center" vertical="center"/>
    </xf>
    <xf numFmtId="174" fontId="3" fillId="0" borderId="49" xfId="0" applyNumberFormat="1" applyFont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74" fontId="0" fillId="0" borderId="47" xfId="0" applyNumberFormat="1" applyBorder="1" applyAlignment="1">
      <alignment horizontal="center" vertical="center"/>
    </xf>
    <xf numFmtId="174" fontId="0" fillId="0" borderId="48" xfId="0" applyNumberFormat="1" applyBorder="1" applyAlignment="1">
      <alignment horizontal="center" vertical="center"/>
    </xf>
    <xf numFmtId="174" fontId="0" fillId="0" borderId="49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5" fontId="3" fillId="0" borderId="61" xfId="0" applyNumberFormat="1" applyFont="1" applyBorder="1" applyAlignment="1">
      <alignment horizontal="center" vertical="center"/>
    </xf>
    <xf numFmtId="175" fontId="3" fillId="0" borderId="62" xfId="0" applyNumberFormat="1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3" borderId="40" xfId="0" applyFont="1" applyFill="1" applyBorder="1" applyAlignment="1">
      <alignment vertical="center"/>
    </xf>
    <xf numFmtId="0" fontId="10" fillId="33" borderId="44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" fontId="0" fillId="34" borderId="11" xfId="0" applyNumberFormat="1" applyFill="1" applyBorder="1" applyAlignment="1" quotePrefix="1">
      <alignment horizontal="center" vertical="center"/>
    </xf>
    <xf numFmtId="16" fontId="0" fillId="34" borderId="10" xfId="0" applyNumberForma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75" fontId="3" fillId="34" borderId="39" xfId="0" applyNumberFormat="1" applyFont="1" applyFill="1" applyBorder="1" applyAlignment="1">
      <alignment horizontal="center" vertical="center"/>
    </xf>
    <xf numFmtId="175" fontId="3" fillId="34" borderId="11" xfId="0" applyNumberFormat="1" applyFont="1" applyFill="1" applyBorder="1" applyAlignment="1">
      <alignment horizontal="center" vertical="center"/>
    </xf>
    <xf numFmtId="175" fontId="3" fillId="34" borderId="40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4" fontId="3" fillId="33" borderId="39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3" fillId="33" borderId="40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indent="8"/>
    </xf>
    <xf numFmtId="0" fontId="16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0" fillId="33" borderId="39" xfId="0" applyFill="1" applyBorder="1" applyAlignment="1">
      <alignment horizontal="right" vertical="center"/>
    </xf>
    <xf numFmtId="0" fontId="0" fillId="33" borderId="41" xfId="0" applyFill="1" applyBorder="1" applyAlignment="1">
      <alignment horizontal="right" vertical="center"/>
    </xf>
    <xf numFmtId="0" fontId="0" fillId="34" borderId="39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6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74" fontId="3" fillId="0" borderId="89" xfId="0" applyNumberFormat="1" applyFont="1" applyBorder="1" applyAlignment="1">
      <alignment horizontal="center" vertical="center"/>
    </xf>
    <xf numFmtId="174" fontId="3" fillId="0" borderId="71" xfId="0" applyNumberFormat="1" applyFont="1" applyBorder="1" applyAlignment="1">
      <alignment horizontal="center" vertical="center"/>
    </xf>
    <xf numFmtId="174" fontId="3" fillId="0" borderId="69" xfId="0" applyNumberFormat="1" applyFont="1" applyBorder="1" applyAlignment="1">
      <alignment horizontal="center" vertical="center"/>
    </xf>
    <xf numFmtId="174" fontId="3" fillId="0" borderId="6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4" fontId="3" fillId="0" borderId="51" xfId="0" applyNumberFormat="1" applyFont="1" applyBorder="1" applyAlignment="1">
      <alignment horizontal="center" vertical="center"/>
    </xf>
    <xf numFmtId="174" fontId="3" fillId="0" borderId="5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174" fontId="49" fillId="0" borderId="39" xfId="0" applyNumberFormat="1" applyFont="1" applyBorder="1" applyAlignment="1">
      <alignment horizontal="center" vertical="center"/>
    </xf>
    <xf numFmtId="174" fontId="49" fillId="0" borderId="22" xfId="0" applyNumberFormat="1" applyFont="1" applyBorder="1" applyAlignment="1">
      <alignment horizontal="center" vertical="center"/>
    </xf>
    <xf numFmtId="174" fontId="49" fillId="0" borderId="41" xfId="0" applyNumberFormat="1" applyFont="1" applyBorder="1" applyAlignment="1">
      <alignment horizontal="center" vertical="center"/>
    </xf>
    <xf numFmtId="174" fontId="49" fillId="0" borderId="19" xfId="0" applyNumberFormat="1" applyFont="1" applyBorder="1" applyAlignment="1">
      <alignment horizontal="center" vertical="center"/>
    </xf>
    <xf numFmtId="174" fontId="49" fillId="0" borderId="43" xfId="0" applyNumberFormat="1" applyFont="1" applyBorder="1" applyAlignment="1">
      <alignment horizontal="center" vertical="center"/>
    </xf>
    <xf numFmtId="174" fontId="49" fillId="0" borderId="23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4" xfId="0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0" fillId="38" borderId="27" xfId="0" applyFill="1" applyBorder="1" applyAlignment="1">
      <alignment vertical="center"/>
    </xf>
    <xf numFmtId="0" fontId="0" fillId="38" borderId="104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174" fontId="49" fillId="0" borderId="12" xfId="0" applyNumberFormat="1" applyFont="1" applyBorder="1" applyAlignment="1">
      <alignment horizontal="center" vertical="center"/>
    </xf>
    <xf numFmtId="174" fontId="49" fillId="0" borderId="13" xfId="0" applyNumberFormat="1" applyFont="1" applyBorder="1" applyAlignment="1">
      <alignment horizontal="center" vertical="center"/>
    </xf>
    <xf numFmtId="174" fontId="49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12" fontId="0" fillId="0" borderId="40" xfId="0" applyNumberFormat="1" applyBorder="1" applyAlignment="1">
      <alignment horizontal="center" vertical="center"/>
    </xf>
    <xf numFmtId="12" fontId="0" fillId="0" borderId="42" xfId="0" applyNumberFormat="1" applyBorder="1" applyAlignment="1">
      <alignment horizontal="center" vertical="center"/>
    </xf>
    <xf numFmtId="12" fontId="0" fillId="0" borderId="44" xfId="0" applyNumberFormat="1" applyBorder="1" applyAlignment="1">
      <alignment horizontal="center" vertical="center"/>
    </xf>
    <xf numFmtId="174" fontId="49" fillId="0" borderId="51" xfId="0" applyNumberFormat="1" applyFont="1" applyBorder="1" applyAlignment="1">
      <alignment horizontal="center" vertical="center"/>
    </xf>
    <xf numFmtId="174" fontId="49" fillId="0" borderId="109" xfId="0" applyNumberFormat="1" applyFont="1" applyBorder="1" applyAlignment="1">
      <alignment horizontal="center" vertical="center"/>
    </xf>
    <xf numFmtId="174" fontId="49" fillId="0" borderId="89" xfId="0" applyNumberFormat="1" applyFont="1" applyBorder="1" applyAlignment="1">
      <alignment horizontal="center" vertical="center"/>
    </xf>
    <xf numFmtId="174" fontId="49" fillId="0" borderId="110" xfId="0" applyNumberFormat="1" applyFont="1" applyBorder="1" applyAlignment="1">
      <alignment horizontal="center" vertical="center"/>
    </xf>
    <xf numFmtId="174" fontId="49" fillId="0" borderId="69" xfId="0" applyNumberFormat="1" applyFont="1" applyBorder="1" applyAlignment="1">
      <alignment horizontal="center" vertical="center"/>
    </xf>
    <xf numFmtId="174" fontId="49" fillId="0" borderId="111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48" xfId="0" applyNumberForma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2" fontId="0" fillId="0" borderId="65" xfId="0" applyNumberFormat="1" applyBorder="1" applyAlignment="1">
      <alignment horizontal="right" vertical="center"/>
    </xf>
    <xf numFmtId="12" fontId="0" fillId="0" borderId="103" xfId="0" applyNumberFormat="1" applyBorder="1" applyAlignment="1">
      <alignment horizontal="left" vertical="center"/>
    </xf>
    <xf numFmtId="175" fontId="0" fillId="0" borderId="42" xfId="0" applyNumberFormat="1" applyBorder="1" applyAlignment="1">
      <alignment horizontal="center" vertical="center"/>
    </xf>
    <xf numFmtId="175" fontId="0" fillId="0" borderId="44" xfId="0" applyNumberForma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175" fontId="0" fillId="0" borderId="41" xfId="0" applyNumberFormat="1" applyBorder="1" applyAlignment="1">
      <alignment horizontal="left" vertical="center" indent="1"/>
    </xf>
    <xf numFmtId="175" fontId="0" fillId="0" borderId="43" xfId="0" applyNumberForma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4" fontId="4" fillId="0" borderId="29" xfId="0" applyNumberFormat="1" applyFont="1" applyFill="1" applyBorder="1" applyAlignment="1">
      <alignment horizontal="center" vertical="center"/>
    </xf>
    <xf numFmtId="174" fontId="4" fillId="0" borderId="28" xfId="0" applyNumberFormat="1" applyFont="1" applyFill="1" applyBorder="1" applyAlignment="1">
      <alignment horizontal="center" vertical="center"/>
    </xf>
    <xf numFmtId="174" fontId="48" fillId="0" borderId="89" xfId="0" applyNumberFormat="1" applyFont="1" applyFill="1" applyBorder="1" applyAlignment="1">
      <alignment horizontal="center" vertical="center"/>
    </xf>
    <xf numFmtId="174" fontId="48" fillId="0" borderId="110" xfId="0" applyNumberFormat="1" applyFont="1" applyFill="1" applyBorder="1" applyAlignment="1">
      <alignment horizontal="center" vertical="center"/>
    </xf>
    <xf numFmtId="174" fontId="33" fillId="38" borderId="29" xfId="0" applyNumberFormat="1" applyFont="1" applyFill="1" applyBorder="1" applyAlignment="1">
      <alignment horizontal="center" vertical="center"/>
    </xf>
    <xf numFmtId="174" fontId="33" fillId="38" borderId="114" xfId="0" applyNumberFormat="1" applyFont="1" applyFill="1" applyBorder="1" applyAlignment="1">
      <alignment horizontal="center" vertical="center"/>
    </xf>
    <xf numFmtId="174" fontId="4" fillId="0" borderId="87" xfId="0" applyNumberFormat="1" applyFont="1" applyFill="1" applyBorder="1" applyAlignment="1">
      <alignment horizontal="center" vertical="center"/>
    </xf>
    <xf numFmtId="174" fontId="4" fillId="0" borderId="115" xfId="0" applyNumberFormat="1" applyFont="1" applyFill="1" applyBorder="1" applyAlignment="1">
      <alignment horizontal="center" vertical="center"/>
    </xf>
    <xf numFmtId="174" fontId="48" fillId="0" borderId="29" xfId="0" applyNumberFormat="1" applyFont="1" applyFill="1" applyBorder="1" applyAlignment="1">
      <alignment horizontal="center" vertical="center"/>
    </xf>
    <xf numFmtId="174" fontId="48" fillId="0" borderId="114" xfId="0" applyNumberFormat="1" applyFont="1" applyFill="1" applyBorder="1" applyAlignment="1">
      <alignment horizontal="center" vertical="center"/>
    </xf>
    <xf numFmtId="175" fontId="61" fillId="38" borderId="29" xfId="0" applyNumberFormat="1" applyFont="1" applyFill="1" applyBorder="1" applyAlignment="1">
      <alignment horizontal="center" vertical="center"/>
    </xf>
    <xf numFmtId="175" fontId="61" fillId="38" borderId="114" xfId="0" applyNumberFormat="1" applyFont="1" applyFill="1" applyBorder="1" applyAlignment="1">
      <alignment horizontal="center" vertical="center"/>
    </xf>
    <xf numFmtId="175" fontId="4" fillId="0" borderId="29" xfId="0" applyNumberFormat="1" applyFont="1" applyFill="1" applyBorder="1" applyAlignment="1">
      <alignment horizontal="center" vertical="center"/>
    </xf>
    <xf numFmtId="175" fontId="4" fillId="0" borderId="114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" fontId="58" fillId="0" borderId="48" xfId="0" applyNumberFormat="1" applyFont="1" applyBorder="1" applyAlignment="1" applyProtection="1">
      <alignment horizontal="center" vertical="center"/>
      <protection locked="0"/>
    </xf>
    <xf numFmtId="2" fontId="9" fillId="0" borderId="40" xfId="0" applyNumberFormat="1" applyFont="1" applyBorder="1" applyAlignment="1" applyProtection="1">
      <alignment horizontal="right" vertical="center" textRotation="90"/>
      <protection locked="0"/>
    </xf>
    <xf numFmtId="2" fontId="9" fillId="0" borderId="42" xfId="0" applyNumberFormat="1" applyFont="1" applyBorder="1" applyAlignment="1" applyProtection="1">
      <alignment horizontal="right" vertical="center" textRotation="90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 applyProtection="1">
      <alignment horizontal="center" vertical="center" textRotation="66"/>
      <protection locked="0"/>
    </xf>
    <xf numFmtId="0" fontId="15" fillId="0" borderId="0" xfId="0" applyFont="1" applyBorder="1" applyAlignment="1" applyProtection="1">
      <alignment horizontal="center" vertical="center" textRotation="66"/>
      <protection locked="0"/>
    </xf>
    <xf numFmtId="0" fontId="2" fillId="33" borderId="39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40" xfId="0" applyFont="1" applyFill="1" applyBorder="1" applyAlignment="1" applyProtection="1">
      <alignment vertical="center"/>
      <protection locked="0"/>
    </xf>
    <xf numFmtId="0" fontId="2" fillId="33" borderId="43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44" xfId="0" applyFont="1" applyFill="1" applyBorder="1" applyAlignment="1" applyProtection="1">
      <alignment vertical="center"/>
      <protection locked="0"/>
    </xf>
    <xf numFmtId="49" fontId="3" fillId="0" borderId="39" xfId="0" applyNumberFormat="1" applyFont="1" applyBorder="1" applyAlignment="1" applyProtection="1">
      <alignment horizontal="left" textRotation="90"/>
      <protection locked="0"/>
    </xf>
    <xf numFmtId="49" fontId="2" fillId="0" borderId="41" xfId="0" applyNumberFormat="1" applyFont="1" applyBorder="1" applyAlignment="1" applyProtection="1">
      <alignment horizontal="left" textRotation="90"/>
      <protection locked="0"/>
    </xf>
    <xf numFmtId="178" fontId="58" fillId="0" borderId="41" xfId="0" applyNumberFormat="1" applyFont="1" applyBorder="1" applyAlignment="1" applyProtection="1">
      <alignment horizontal="center" vertical="center"/>
      <protection locked="0"/>
    </xf>
    <xf numFmtId="178" fontId="58" fillId="0" borderId="0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left" vertical="center" indent="1"/>
      <protection locked="0"/>
    </xf>
    <xf numFmtId="178" fontId="2" fillId="0" borderId="40" xfId="0" applyNumberFormat="1" applyFont="1" applyBorder="1" applyAlignment="1" applyProtection="1">
      <alignment horizontal="left" vertical="center" indent="1"/>
      <protection locked="0"/>
    </xf>
    <xf numFmtId="178" fontId="2" fillId="0" borderId="10" xfId="0" applyNumberFormat="1" applyFont="1" applyBorder="1" applyAlignment="1" applyProtection="1">
      <alignment horizontal="left" vertical="center" indent="1"/>
      <protection locked="0"/>
    </xf>
    <xf numFmtId="178" fontId="2" fillId="0" borderId="44" xfId="0" applyNumberFormat="1" applyFont="1" applyBorder="1" applyAlignment="1" applyProtection="1">
      <alignment horizontal="left" vertical="center" indent="1"/>
      <protection locked="0"/>
    </xf>
    <xf numFmtId="0" fontId="2" fillId="34" borderId="39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40" xfId="0" applyFont="1" applyFill="1" applyBorder="1" applyAlignment="1" applyProtection="1">
      <alignment vertical="center"/>
      <protection locked="0"/>
    </xf>
    <xf numFmtId="0" fontId="2" fillId="34" borderId="43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44" xfId="0" applyFont="1" applyFill="1" applyBorder="1" applyAlignment="1" applyProtection="1">
      <alignment vertical="center"/>
      <protection locked="0"/>
    </xf>
    <xf numFmtId="179" fontId="58" fillId="0" borderId="41" xfId="0" applyNumberFormat="1" applyFont="1" applyBorder="1" applyAlignment="1" applyProtection="1">
      <alignment horizontal="center" vertical="center"/>
      <protection locked="0"/>
    </xf>
    <xf numFmtId="179" fontId="58" fillId="0" borderId="0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left" vertical="center" indent="1"/>
      <protection locked="0"/>
    </xf>
    <xf numFmtId="178" fontId="2" fillId="0" borderId="42" xfId="0" applyNumberFormat="1" applyFont="1" applyBorder="1" applyAlignment="1" applyProtection="1">
      <alignment horizontal="left" vertical="center" indent="1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74" fontId="2" fillId="35" borderId="43" xfId="0" applyNumberFormat="1" applyFont="1" applyFill="1" applyBorder="1" applyAlignment="1" applyProtection="1">
      <alignment horizontal="center" vertical="center"/>
      <protection locked="0"/>
    </xf>
    <xf numFmtId="174" fontId="2" fillId="35" borderId="10" xfId="0" applyNumberFormat="1" applyFont="1" applyFill="1" applyBorder="1" applyAlignment="1" applyProtection="1">
      <alignment horizontal="center" vertical="center"/>
      <protection locked="0"/>
    </xf>
    <xf numFmtId="174" fontId="2" fillId="35" borderId="44" xfId="0" applyNumberFormat="1" applyFont="1" applyFill="1" applyBorder="1" applyAlignment="1" applyProtection="1">
      <alignment horizontal="center" vertical="center"/>
      <protection locked="0"/>
    </xf>
    <xf numFmtId="0" fontId="15" fillId="35" borderId="39" xfId="0" applyFont="1" applyFill="1" applyBorder="1" applyAlignment="1" applyProtection="1">
      <alignment horizontal="center" vertical="center"/>
      <protection locked="0"/>
    </xf>
    <xf numFmtId="0" fontId="15" fillId="35" borderId="11" xfId="0" applyFont="1" applyFill="1" applyBorder="1" applyAlignment="1" applyProtection="1">
      <alignment horizontal="center" vertical="center"/>
      <protection locked="0"/>
    </xf>
    <xf numFmtId="0" fontId="15" fillId="35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Separador de milhares_003 - Valetão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57150</xdr:rowOff>
    </xdr:from>
    <xdr:to>
      <xdr:col>4</xdr:col>
      <xdr:colOff>28575</xdr:colOff>
      <xdr:row>4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47625</xdr:rowOff>
    </xdr:from>
    <xdr:to>
      <xdr:col>5</xdr:col>
      <xdr:colOff>114300</xdr:colOff>
      <xdr:row>4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114300</xdr:rowOff>
    </xdr:from>
    <xdr:to>
      <xdr:col>5</xdr:col>
      <xdr:colOff>342900</xdr:colOff>
      <xdr:row>3</xdr:row>
      <xdr:rowOff>161925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114300</xdr:rowOff>
    </xdr:from>
    <xdr:to>
      <xdr:col>5</xdr:col>
      <xdr:colOff>457200</xdr:colOff>
      <xdr:row>3</xdr:row>
      <xdr:rowOff>161925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19050</xdr:rowOff>
    </xdr:from>
    <xdr:to>
      <xdr:col>5</xdr:col>
      <xdr:colOff>228600</xdr:colOff>
      <xdr:row>32</xdr:row>
      <xdr:rowOff>142875</xdr:rowOff>
    </xdr:to>
    <xdr:sp>
      <xdr:nvSpPr>
        <xdr:cNvPr id="1" name="AutoShape 7"/>
        <xdr:cNvSpPr>
          <a:spLocks/>
        </xdr:cNvSpPr>
      </xdr:nvSpPr>
      <xdr:spPr>
        <a:xfrm rot="10800000">
          <a:off x="1228725" y="3419475"/>
          <a:ext cx="2314575" cy="1943100"/>
        </a:xfrm>
        <a:custGeom>
          <a:pathLst>
            <a:path h="21600" w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lnTo>
                <a:pt x="5400" y="10800"/>
              </a:lnTo>
              <a:close/>
            </a:path>
          </a:pathLst>
        </a:custGeom>
        <a:solidFill>
          <a:srgbClr val="C0C0C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25</xdr:row>
      <xdr:rowOff>9525</xdr:rowOff>
    </xdr:from>
    <xdr:to>
      <xdr:col>4</xdr:col>
      <xdr:colOff>409575</xdr:colOff>
      <xdr:row>25</xdr:row>
      <xdr:rowOff>9525</xdr:rowOff>
    </xdr:to>
    <xdr:sp>
      <xdr:nvSpPr>
        <xdr:cNvPr id="2" name="Line 8"/>
        <xdr:cNvSpPr>
          <a:spLocks/>
        </xdr:cNvSpPr>
      </xdr:nvSpPr>
      <xdr:spPr>
        <a:xfrm>
          <a:off x="1666875" y="4076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24</xdr:row>
      <xdr:rowOff>38100</xdr:rowOff>
    </xdr:from>
    <xdr:to>
      <xdr:col>2</xdr:col>
      <xdr:colOff>542925</xdr:colOff>
      <xdr:row>26</xdr:row>
      <xdr:rowOff>47625</xdr:rowOff>
    </xdr:to>
    <xdr:sp>
      <xdr:nvSpPr>
        <xdr:cNvPr id="3" name="Line 10"/>
        <xdr:cNvSpPr>
          <a:spLocks/>
        </xdr:cNvSpPr>
      </xdr:nvSpPr>
      <xdr:spPr>
        <a:xfrm>
          <a:off x="1762125" y="39243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24</xdr:row>
      <xdr:rowOff>38100</xdr:rowOff>
    </xdr:from>
    <xdr:to>
      <xdr:col>4</xdr:col>
      <xdr:colOff>333375</xdr:colOff>
      <xdr:row>26</xdr:row>
      <xdr:rowOff>76200</xdr:rowOff>
    </xdr:to>
    <xdr:sp>
      <xdr:nvSpPr>
        <xdr:cNvPr id="4" name="Line 11"/>
        <xdr:cNvSpPr>
          <a:spLocks/>
        </xdr:cNvSpPr>
      </xdr:nvSpPr>
      <xdr:spPr>
        <a:xfrm>
          <a:off x="3038475" y="3924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27</xdr:row>
      <xdr:rowOff>0</xdr:rowOff>
    </xdr:from>
    <xdr:to>
      <xdr:col>3</xdr:col>
      <xdr:colOff>428625</xdr:colOff>
      <xdr:row>29</xdr:row>
      <xdr:rowOff>152400</xdr:rowOff>
    </xdr:to>
    <xdr:sp>
      <xdr:nvSpPr>
        <xdr:cNvPr id="5" name="Line 13"/>
        <xdr:cNvSpPr>
          <a:spLocks/>
        </xdr:cNvSpPr>
      </xdr:nvSpPr>
      <xdr:spPr>
        <a:xfrm>
          <a:off x="2524125" y="44100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27</xdr:row>
      <xdr:rowOff>114300</xdr:rowOff>
    </xdr:from>
    <xdr:to>
      <xdr:col>5</xdr:col>
      <xdr:colOff>428625</xdr:colOff>
      <xdr:row>30</xdr:row>
      <xdr:rowOff>9525</xdr:rowOff>
    </xdr:to>
    <xdr:sp>
      <xdr:nvSpPr>
        <xdr:cNvPr id="6" name="Line 14"/>
        <xdr:cNvSpPr>
          <a:spLocks/>
        </xdr:cNvSpPr>
      </xdr:nvSpPr>
      <xdr:spPr>
        <a:xfrm>
          <a:off x="3743325" y="4524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29</xdr:row>
      <xdr:rowOff>152400</xdr:rowOff>
    </xdr:from>
    <xdr:to>
      <xdr:col>5</xdr:col>
      <xdr:colOff>590550</xdr:colOff>
      <xdr:row>29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2543175" y="4886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0</xdr:rowOff>
    </xdr:from>
    <xdr:to>
      <xdr:col>3</xdr:col>
      <xdr:colOff>523875</xdr:colOff>
      <xdr:row>27</xdr:row>
      <xdr:rowOff>0</xdr:rowOff>
    </xdr:to>
    <xdr:sp>
      <xdr:nvSpPr>
        <xdr:cNvPr id="8" name="Line 19"/>
        <xdr:cNvSpPr>
          <a:spLocks/>
        </xdr:cNvSpPr>
      </xdr:nvSpPr>
      <xdr:spPr>
        <a:xfrm>
          <a:off x="2409825" y="4410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27</xdr:row>
      <xdr:rowOff>114300</xdr:rowOff>
    </xdr:from>
    <xdr:to>
      <xdr:col>5</xdr:col>
      <xdr:colOff>542925</xdr:colOff>
      <xdr:row>27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3648075" y="4524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</xdr:col>
      <xdr:colOff>19050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2333625" y="1000125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9525</xdr:rowOff>
    </xdr:from>
    <xdr:to>
      <xdr:col>10</xdr:col>
      <xdr:colOff>47625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581400" y="990600"/>
          <a:ext cx="24288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</xdr:row>
      <xdr:rowOff>152400</xdr:rowOff>
    </xdr:from>
    <xdr:to>
      <xdr:col>6</xdr:col>
      <xdr:colOff>104775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467100" y="97155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76200</xdr:rowOff>
    </xdr:from>
    <xdr:to>
      <xdr:col>12</xdr:col>
      <xdr:colOff>381000</xdr:colOff>
      <xdr:row>7</xdr:row>
      <xdr:rowOff>123825</xdr:rowOff>
    </xdr:to>
    <xdr:sp>
      <xdr:nvSpPr>
        <xdr:cNvPr id="1" name="Line 2"/>
        <xdr:cNvSpPr>
          <a:spLocks/>
        </xdr:cNvSpPr>
      </xdr:nvSpPr>
      <xdr:spPr>
        <a:xfrm rot="21120000">
          <a:off x="3181350" y="323850"/>
          <a:ext cx="19812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13</xdr:col>
      <xdr:colOff>409575</xdr:colOff>
      <xdr:row>4</xdr:row>
      <xdr:rowOff>171450</xdr:rowOff>
    </xdr:to>
    <xdr:sp>
      <xdr:nvSpPr>
        <xdr:cNvPr id="2" name="Line 3"/>
        <xdr:cNvSpPr>
          <a:spLocks/>
        </xdr:cNvSpPr>
      </xdr:nvSpPr>
      <xdr:spPr>
        <a:xfrm>
          <a:off x="3133725" y="85725"/>
          <a:ext cx="2505075" cy="714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5</xdr:row>
      <xdr:rowOff>142875</xdr:rowOff>
    </xdr:from>
    <xdr:to>
      <xdr:col>14</xdr:col>
      <xdr:colOff>142875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572125" y="9620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5</xdr:row>
      <xdr:rowOff>133350</xdr:rowOff>
    </xdr:from>
    <xdr:to>
      <xdr:col>14</xdr:col>
      <xdr:colOff>66675</xdr:colOff>
      <xdr:row>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5572125" y="95250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447675</xdr:colOff>
      <xdr:row>7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5238750" y="438150"/>
          <a:ext cx="438150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66675</xdr:rowOff>
    </xdr:from>
    <xdr:to>
      <xdr:col>5</xdr:col>
      <xdr:colOff>466725</xdr:colOff>
      <xdr:row>3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285750" y="390525"/>
          <a:ext cx="1752600" cy="342900"/>
          <a:chOff x="88" y="75"/>
          <a:chExt cx="232" cy="46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88" y="75"/>
            <a:ext cx="47" cy="46"/>
            <a:chOff x="104" y="260"/>
            <a:chExt cx="67" cy="71"/>
          </a:xfrm>
          <a:solidFill>
            <a:srgbClr val="FFFFFF"/>
          </a:solidFill>
        </xdr:grpSpPr>
        <xdr:sp>
          <xdr:nvSpPr>
            <xdr:cNvPr id="3" name="Freeform 6"/>
            <xdr:cNvSpPr>
              <a:spLocks/>
            </xdr:cNvSpPr>
          </xdr:nvSpPr>
          <xdr:spPr>
            <a:xfrm>
              <a:off x="110" y="260"/>
              <a:ext cx="54" cy="16"/>
            </a:xfrm>
            <a:custGeom>
              <a:pathLst>
                <a:path h="78" w="267">
                  <a:moveTo>
                    <a:pt x="0" y="78"/>
                  </a:moveTo>
                  <a:lnTo>
                    <a:pt x="267" y="63"/>
                  </a:lnTo>
                  <a:lnTo>
                    <a:pt x="253" y="48"/>
                  </a:lnTo>
                  <a:lnTo>
                    <a:pt x="237" y="34"/>
                  </a:lnTo>
                  <a:lnTo>
                    <a:pt x="221" y="23"/>
                  </a:lnTo>
                  <a:lnTo>
                    <a:pt x="204" y="15"/>
                  </a:lnTo>
                  <a:lnTo>
                    <a:pt x="187" y="7"/>
                  </a:lnTo>
                  <a:lnTo>
                    <a:pt x="169" y="2"/>
                  </a:lnTo>
                  <a:lnTo>
                    <a:pt x="151" y="0"/>
                  </a:lnTo>
                  <a:lnTo>
                    <a:pt x="133" y="0"/>
                  </a:lnTo>
                  <a:lnTo>
                    <a:pt x="114" y="1"/>
                  </a:lnTo>
                  <a:lnTo>
                    <a:pt x="97" y="5"/>
                  </a:lnTo>
                  <a:lnTo>
                    <a:pt x="79" y="11"/>
                  </a:lnTo>
                  <a:lnTo>
                    <a:pt x="62" y="20"/>
                  </a:lnTo>
                  <a:lnTo>
                    <a:pt x="45" y="30"/>
                  </a:lnTo>
                  <a:lnTo>
                    <a:pt x="29" y="44"/>
                  </a:lnTo>
                  <a:lnTo>
                    <a:pt x="14" y="60"/>
                  </a:lnTo>
                  <a:lnTo>
                    <a:pt x="0" y="7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Freeform 7"/>
            <xdr:cNvSpPr>
              <a:spLocks/>
            </xdr:cNvSpPr>
          </xdr:nvSpPr>
          <xdr:spPr>
            <a:xfrm>
              <a:off x="104" y="275"/>
              <a:ext cx="64" cy="22"/>
            </a:xfrm>
            <a:custGeom>
              <a:pathLst>
                <a:path h="108" w="319">
                  <a:moveTo>
                    <a:pt x="3" y="68"/>
                  </a:moveTo>
                  <a:lnTo>
                    <a:pt x="308" y="0"/>
                  </a:lnTo>
                  <a:lnTo>
                    <a:pt x="309" y="2"/>
                  </a:lnTo>
                  <a:lnTo>
                    <a:pt x="311" y="5"/>
                  </a:lnTo>
                  <a:lnTo>
                    <a:pt x="312" y="7"/>
                  </a:lnTo>
                  <a:lnTo>
                    <a:pt x="313" y="10"/>
                  </a:lnTo>
                  <a:lnTo>
                    <a:pt x="315" y="12"/>
                  </a:lnTo>
                  <a:lnTo>
                    <a:pt x="317" y="14"/>
                  </a:lnTo>
                  <a:lnTo>
                    <a:pt x="318" y="18"/>
                  </a:lnTo>
                  <a:lnTo>
                    <a:pt x="319" y="21"/>
                  </a:lnTo>
                  <a:lnTo>
                    <a:pt x="0" y="108"/>
                  </a:lnTo>
                  <a:lnTo>
                    <a:pt x="0" y="104"/>
                  </a:lnTo>
                  <a:lnTo>
                    <a:pt x="1" y="99"/>
                  </a:lnTo>
                  <a:lnTo>
                    <a:pt x="1" y="94"/>
                  </a:lnTo>
                  <a:lnTo>
                    <a:pt x="1" y="89"/>
                  </a:lnTo>
                  <a:lnTo>
                    <a:pt x="1" y="84"/>
                  </a:lnTo>
                  <a:lnTo>
                    <a:pt x="2" y="78"/>
                  </a:lnTo>
                  <a:lnTo>
                    <a:pt x="2" y="73"/>
                  </a:lnTo>
                  <a:lnTo>
                    <a:pt x="3" y="6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8"/>
            <xdr:cNvSpPr>
              <a:spLocks/>
            </xdr:cNvSpPr>
          </xdr:nvSpPr>
          <xdr:spPr>
            <a:xfrm>
              <a:off x="107" y="281"/>
              <a:ext cx="63" cy="36"/>
            </a:xfrm>
            <a:custGeom>
              <a:pathLst>
                <a:path h="178" w="313">
                  <a:moveTo>
                    <a:pt x="0" y="148"/>
                  </a:moveTo>
                  <a:lnTo>
                    <a:pt x="307" y="0"/>
                  </a:lnTo>
                  <a:lnTo>
                    <a:pt x="308" y="3"/>
                  </a:lnTo>
                  <a:lnTo>
                    <a:pt x="309" y="5"/>
                  </a:lnTo>
                  <a:lnTo>
                    <a:pt x="309" y="9"/>
                  </a:lnTo>
                  <a:lnTo>
                    <a:pt x="310" y="11"/>
                  </a:lnTo>
                  <a:lnTo>
                    <a:pt x="311" y="14"/>
                  </a:lnTo>
                  <a:lnTo>
                    <a:pt x="312" y="16"/>
                  </a:lnTo>
                  <a:lnTo>
                    <a:pt x="312" y="18"/>
                  </a:lnTo>
                  <a:lnTo>
                    <a:pt x="313" y="22"/>
                  </a:lnTo>
                  <a:lnTo>
                    <a:pt x="18" y="178"/>
                  </a:lnTo>
                  <a:lnTo>
                    <a:pt x="15" y="175"/>
                  </a:lnTo>
                  <a:lnTo>
                    <a:pt x="13" y="171"/>
                  </a:lnTo>
                  <a:lnTo>
                    <a:pt x="10" y="167"/>
                  </a:lnTo>
                  <a:lnTo>
                    <a:pt x="8" y="164"/>
                  </a:lnTo>
                  <a:lnTo>
                    <a:pt x="6" y="160"/>
                  </a:lnTo>
                  <a:lnTo>
                    <a:pt x="3" y="156"/>
                  </a:lnTo>
                  <a:lnTo>
                    <a:pt x="2" y="151"/>
                  </a:lnTo>
                  <a:lnTo>
                    <a:pt x="0" y="14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9"/>
            <xdr:cNvSpPr>
              <a:spLocks/>
            </xdr:cNvSpPr>
          </xdr:nvSpPr>
          <xdr:spPr>
            <a:xfrm>
              <a:off x="122" y="289"/>
              <a:ext cx="49" cy="42"/>
            </a:xfrm>
            <a:custGeom>
              <a:pathLst>
                <a:path h="212" w="246">
                  <a:moveTo>
                    <a:pt x="244" y="0"/>
                  </a:moveTo>
                  <a:lnTo>
                    <a:pt x="0" y="191"/>
                  </a:lnTo>
                  <a:lnTo>
                    <a:pt x="13" y="197"/>
                  </a:lnTo>
                  <a:lnTo>
                    <a:pt x="26" y="202"/>
                  </a:lnTo>
                  <a:lnTo>
                    <a:pt x="38" y="206"/>
                  </a:lnTo>
                  <a:lnTo>
                    <a:pt x="51" y="208"/>
                  </a:lnTo>
                  <a:lnTo>
                    <a:pt x="63" y="211"/>
                  </a:lnTo>
                  <a:lnTo>
                    <a:pt x="76" y="212"/>
                  </a:lnTo>
                  <a:lnTo>
                    <a:pt x="87" y="211"/>
                  </a:lnTo>
                  <a:lnTo>
                    <a:pt x="100" y="211"/>
                  </a:lnTo>
                  <a:lnTo>
                    <a:pt x="111" y="208"/>
                  </a:lnTo>
                  <a:lnTo>
                    <a:pt x="122" y="206"/>
                  </a:lnTo>
                  <a:lnTo>
                    <a:pt x="133" y="202"/>
                  </a:lnTo>
                  <a:lnTo>
                    <a:pt x="144" y="197"/>
                  </a:lnTo>
                  <a:lnTo>
                    <a:pt x="154" y="192"/>
                  </a:lnTo>
                  <a:lnTo>
                    <a:pt x="163" y="186"/>
                  </a:lnTo>
                  <a:lnTo>
                    <a:pt x="173" y="180"/>
                  </a:lnTo>
                  <a:lnTo>
                    <a:pt x="183" y="173"/>
                  </a:lnTo>
                  <a:lnTo>
                    <a:pt x="191" y="166"/>
                  </a:lnTo>
                  <a:lnTo>
                    <a:pt x="198" y="157"/>
                  </a:lnTo>
                  <a:lnTo>
                    <a:pt x="206" y="149"/>
                  </a:lnTo>
                  <a:lnTo>
                    <a:pt x="213" y="139"/>
                  </a:lnTo>
                  <a:lnTo>
                    <a:pt x="220" y="129"/>
                  </a:lnTo>
                  <a:lnTo>
                    <a:pt x="226" y="119"/>
                  </a:lnTo>
                  <a:lnTo>
                    <a:pt x="230" y="108"/>
                  </a:lnTo>
                  <a:lnTo>
                    <a:pt x="235" y="97"/>
                  </a:lnTo>
                  <a:lnTo>
                    <a:pt x="238" y="85"/>
                  </a:lnTo>
                  <a:lnTo>
                    <a:pt x="242" y="74"/>
                  </a:lnTo>
                  <a:lnTo>
                    <a:pt x="244" y="62"/>
                  </a:lnTo>
                  <a:lnTo>
                    <a:pt x="245" y="50"/>
                  </a:lnTo>
                  <a:lnTo>
                    <a:pt x="246" y="38"/>
                  </a:lnTo>
                  <a:lnTo>
                    <a:pt x="246" y="25"/>
                  </a:lnTo>
                  <a:lnTo>
                    <a:pt x="245" y="1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10"/>
          <xdr:cNvSpPr>
            <a:spLocks/>
          </xdr:cNvSpPr>
        </xdr:nvSpPr>
        <xdr:spPr>
          <a:xfrm>
            <a:off x="138" y="89"/>
            <a:ext cx="10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ENECON S.A.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138" y="106"/>
            <a:ext cx="18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Engenheiros e Economistas Consultores</a:t>
            </a:r>
          </a:p>
        </xdr:txBody>
      </xdr:sp>
    </xdr:grpSp>
    <xdr:clientData/>
  </xdr:twoCellAnchor>
  <xdr:twoCellAnchor>
    <xdr:from>
      <xdr:col>2</xdr:col>
      <xdr:colOff>38100</xdr:colOff>
      <xdr:row>90</xdr:row>
      <xdr:rowOff>28575</xdr:rowOff>
    </xdr:from>
    <xdr:to>
      <xdr:col>5</xdr:col>
      <xdr:colOff>438150</xdr:colOff>
      <xdr:row>91</xdr:row>
      <xdr:rowOff>133350</xdr:rowOff>
    </xdr:to>
    <xdr:grpSp>
      <xdr:nvGrpSpPr>
        <xdr:cNvPr id="9" name="Group 14"/>
        <xdr:cNvGrpSpPr>
          <a:grpSpLocks/>
        </xdr:cNvGrpSpPr>
      </xdr:nvGrpSpPr>
      <xdr:grpSpPr>
        <a:xfrm>
          <a:off x="276225" y="18192750"/>
          <a:ext cx="1733550" cy="352425"/>
          <a:chOff x="88" y="75"/>
          <a:chExt cx="243" cy="46"/>
        </a:xfrm>
        <a:solidFill>
          <a:srgbClr val="FFFFFF"/>
        </a:solidFill>
      </xdr:grpSpPr>
      <xdr:grpSp>
        <xdr:nvGrpSpPr>
          <xdr:cNvPr id="10" name="Group 15"/>
          <xdr:cNvGrpSpPr>
            <a:grpSpLocks/>
          </xdr:cNvGrpSpPr>
        </xdr:nvGrpSpPr>
        <xdr:grpSpPr>
          <a:xfrm>
            <a:off x="88" y="75"/>
            <a:ext cx="47" cy="46"/>
            <a:chOff x="104" y="260"/>
            <a:chExt cx="67" cy="71"/>
          </a:xfrm>
          <a:solidFill>
            <a:srgbClr val="FFFFFF"/>
          </a:solidFill>
        </xdr:grpSpPr>
        <xdr:sp>
          <xdr:nvSpPr>
            <xdr:cNvPr id="11" name="Freeform 16"/>
            <xdr:cNvSpPr>
              <a:spLocks/>
            </xdr:cNvSpPr>
          </xdr:nvSpPr>
          <xdr:spPr>
            <a:xfrm>
              <a:off x="110" y="260"/>
              <a:ext cx="54" cy="16"/>
            </a:xfrm>
            <a:custGeom>
              <a:pathLst>
                <a:path h="78" w="267">
                  <a:moveTo>
                    <a:pt x="0" y="78"/>
                  </a:moveTo>
                  <a:lnTo>
                    <a:pt x="267" y="63"/>
                  </a:lnTo>
                  <a:lnTo>
                    <a:pt x="253" y="48"/>
                  </a:lnTo>
                  <a:lnTo>
                    <a:pt x="237" y="34"/>
                  </a:lnTo>
                  <a:lnTo>
                    <a:pt x="221" y="23"/>
                  </a:lnTo>
                  <a:lnTo>
                    <a:pt x="204" y="15"/>
                  </a:lnTo>
                  <a:lnTo>
                    <a:pt x="187" y="7"/>
                  </a:lnTo>
                  <a:lnTo>
                    <a:pt x="169" y="2"/>
                  </a:lnTo>
                  <a:lnTo>
                    <a:pt x="151" y="0"/>
                  </a:lnTo>
                  <a:lnTo>
                    <a:pt x="133" y="0"/>
                  </a:lnTo>
                  <a:lnTo>
                    <a:pt x="114" y="1"/>
                  </a:lnTo>
                  <a:lnTo>
                    <a:pt x="97" y="5"/>
                  </a:lnTo>
                  <a:lnTo>
                    <a:pt x="79" y="11"/>
                  </a:lnTo>
                  <a:lnTo>
                    <a:pt x="62" y="20"/>
                  </a:lnTo>
                  <a:lnTo>
                    <a:pt x="45" y="30"/>
                  </a:lnTo>
                  <a:lnTo>
                    <a:pt x="29" y="44"/>
                  </a:lnTo>
                  <a:lnTo>
                    <a:pt x="14" y="60"/>
                  </a:lnTo>
                  <a:lnTo>
                    <a:pt x="0" y="7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17"/>
            <xdr:cNvSpPr>
              <a:spLocks/>
            </xdr:cNvSpPr>
          </xdr:nvSpPr>
          <xdr:spPr>
            <a:xfrm>
              <a:off x="104" y="275"/>
              <a:ext cx="64" cy="22"/>
            </a:xfrm>
            <a:custGeom>
              <a:pathLst>
                <a:path h="108" w="319">
                  <a:moveTo>
                    <a:pt x="3" y="68"/>
                  </a:moveTo>
                  <a:lnTo>
                    <a:pt x="308" y="0"/>
                  </a:lnTo>
                  <a:lnTo>
                    <a:pt x="309" y="2"/>
                  </a:lnTo>
                  <a:lnTo>
                    <a:pt x="311" y="5"/>
                  </a:lnTo>
                  <a:lnTo>
                    <a:pt x="312" y="7"/>
                  </a:lnTo>
                  <a:lnTo>
                    <a:pt x="313" y="10"/>
                  </a:lnTo>
                  <a:lnTo>
                    <a:pt x="315" y="12"/>
                  </a:lnTo>
                  <a:lnTo>
                    <a:pt x="317" y="14"/>
                  </a:lnTo>
                  <a:lnTo>
                    <a:pt x="318" y="18"/>
                  </a:lnTo>
                  <a:lnTo>
                    <a:pt x="319" y="21"/>
                  </a:lnTo>
                  <a:lnTo>
                    <a:pt x="0" y="108"/>
                  </a:lnTo>
                  <a:lnTo>
                    <a:pt x="0" y="104"/>
                  </a:lnTo>
                  <a:lnTo>
                    <a:pt x="1" y="99"/>
                  </a:lnTo>
                  <a:lnTo>
                    <a:pt x="1" y="94"/>
                  </a:lnTo>
                  <a:lnTo>
                    <a:pt x="1" y="89"/>
                  </a:lnTo>
                  <a:lnTo>
                    <a:pt x="1" y="84"/>
                  </a:lnTo>
                  <a:lnTo>
                    <a:pt x="2" y="78"/>
                  </a:lnTo>
                  <a:lnTo>
                    <a:pt x="2" y="73"/>
                  </a:lnTo>
                  <a:lnTo>
                    <a:pt x="3" y="6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18"/>
            <xdr:cNvSpPr>
              <a:spLocks/>
            </xdr:cNvSpPr>
          </xdr:nvSpPr>
          <xdr:spPr>
            <a:xfrm>
              <a:off x="107" y="281"/>
              <a:ext cx="63" cy="36"/>
            </a:xfrm>
            <a:custGeom>
              <a:pathLst>
                <a:path h="178" w="313">
                  <a:moveTo>
                    <a:pt x="0" y="148"/>
                  </a:moveTo>
                  <a:lnTo>
                    <a:pt x="307" y="0"/>
                  </a:lnTo>
                  <a:lnTo>
                    <a:pt x="308" y="3"/>
                  </a:lnTo>
                  <a:lnTo>
                    <a:pt x="309" y="5"/>
                  </a:lnTo>
                  <a:lnTo>
                    <a:pt x="309" y="9"/>
                  </a:lnTo>
                  <a:lnTo>
                    <a:pt x="310" y="11"/>
                  </a:lnTo>
                  <a:lnTo>
                    <a:pt x="311" y="14"/>
                  </a:lnTo>
                  <a:lnTo>
                    <a:pt x="312" y="16"/>
                  </a:lnTo>
                  <a:lnTo>
                    <a:pt x="312" y="18"/>
                  </a:lnTo>
                  <a:lnTo>
                    <a:pt x="313" y="22"/>
                  </a:lnTo>
                  <a:lnTo>
                    <a:pt x="18" y="178"/>
                  </a:lnTo>
                  <a:lnTo>
                    <a:pt x="15" y="175"/>
                  </a:lnTo>
                  <a:lnTo>
                    <a:pt x="13" y="171"/>
                  </a:lnTo>
                  <a:lnTo>
                    <a:pt x="10" y="167"/>
                  </a:lnTo>
                  <a:lnTo>
                    <a:pt x="8" y="164"/>
                  </a:lnTo>
                  <a:lnTo>
                    <a:pt x="6" y="160"/>
                  </a:lnTo>
                  <a:lnTo>
                    <a:pt x="3" y="156"/>
                  </a:lnTo>
                  <a:lnTo>
                    <a:pt x="2" y="151"/>
                  </a:lnTo>
                  <a:lnTo>
                    <a:pt x="0" y="14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19"/>
            <xdr:cNvSpPr>
              <a:spLocks/>
            </xdr:cNvSpPr>
          </xdr:nvSpPr>
          <xdr:spPr>
            <a:xfrm>
              <a:off x="122" y="289"/>
              <a:ext cx="49" cy="42"/>
            </a:xfrm>
            <a:custGeom>
              <a:pathLst>
                <a:path h="212" w="246">
                  <a:moveTo>
                    <a:pt x="244" y="0"/>
                  </a:moveTo>
                  <a:lnTo>
                    <a:pt x="0" y="191"/>
                  </a:lnTo>
                  <a:lnTo>
                    <a:pt x="13" y="197"/>
                  </a:lnTo>
                  <a:lnTo>
                    <a:pt x="26" y="202"/>
                  </a:lnTo>
                  <a:lnTo>
                    <a:pt x="38" y="206"/>
                  </a:lnTo>
                  <a:lnTo>
                    <a:pt x="51" y="208"/>
                  </a:lnTo>
                  <a:lnTo>
                    <a:pt x="63" y="211"/>
                  </a:lnTo>
                  <a:lnTo>
                    <a:pt x="76" y="212"/>
                  </a:lnTo>
                  <a:lnTo>
                    <a:pt x="87" y="211"/>
                  </a:lnTo>
                  <a:lnTo>
                    <a:pt x="100" y="211"/>
                  </a:lnTo>
                  <a:lnTo>
                    <a:pt x="111" y="208"/>
                  </a:lnTo>
                  <a:lnTo>
                    <a:pt x="122" y="206"/>
                  </a:lnTo>
                  <a:lnTo>
                    <a:pt x="133" y="202"/>
                  </a:lnTo>
                  <a:lnTo>
                    <a:pt x="144" y="197"/>
                  </a:lnTo>
                  <a:lnTo>
                    <a:pt x="154" y="192"/>
                  </a:lnTo>
                  <a:lnTo>
                    <a:pt x="163" y="186"/>
                  </a:lnTo>
                  <a:lnTo>
                    <a:pt x="173" y="180"/>
                  </a:lnTo>
                  <a:lnTo>
                    <a:pt x="183" y="173"/>
                  </a:lnTo>
                  <a:lnTo>
                    <a:pt x="191" y="166"/>
                  </a:lnTo>
                  <a:lnTo>
                    <a:pt x="198" y="157"/>
                  </a:lnTo>
                  <a:lnTo>
                    <a:pt x="206" y="149"/>
                  </a:lnTo>
                  <a:lnTo>
                    <a:pt x="213" y="139"/>
                  </a:lnTo>
                  <a:lnTo>
                    <a:pt x="220" y="129"/>
                  </a:lnTo>
                  <a:lnTo>
                    <a:pt x="226" y="119"/>
                  </a:lnTo>
                  <a:lnTo>
                    <a:pt x="230" y="108"/>
                  </a:lnTo>
                  <a:lnTo>
                    <a:pt x="235" y="97"/>
                  </a:lnTo>
                  <a:lnTo>
                    <a:pt x="238" y="85"/>
                  </a:lnTo>
                  <a:lnTo>
                    <a:pt x="242" y="74"/>
                  </a:lnTo>
                  <a:lnTo>
                    <a:pt x="244" y="62"/>
                  </a:lnTo>
                  <a:lnTo>
                    <a:pt x="245" y="50"/>
                  </a:lnTo>
                  <a:lnTo>
                    <a:pt x="246" y="38"/>
                  </a:lnTo>
                  <a:lnTo>
                    <a:pt x="246" y="25"/>
                  </a:lnTo>
                  <a:lnTo>
                    <a:pt x="245" y="1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Rectangle 20"/>
          <xdr:cNvSpPr>
            <a:spLocks/>
          </xdr:cNvSpPr>
        </xdr:nvSpPr>
        <xdr:spPr>
          <a:xfrm>
            <a:off x="139" y="87"/>
            <a:ext cx="10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ENECON S.A.</a:t>
            </a:r>
          </a:p>
        </xdr:txBody>
      </xdr:sp>
      <xdr:sp>
        <xdr:nvSpPr>
          <xdr:cNvPr id="16" name="Rectangle 21"/>
          <xdr:cNvSpPr>
            <a:spLocks/>
          </xdr:cNvSpPr>
        </xdr:nvSpPr>
        <xdr:spPr>
          <a:xfrm>
            <a:off x="139" y="106"/>
            <a:ext cx="19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Engenheiros e Economistas Consultores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90</xdr:row>
      <xdr:rowOff>28575</xdr:rowOff>
    </xdr:from>
    <xdr:to>
      <xdr:col>5</xdr:col>
      <xdr:colOff>438150</xdr:colOff>
      <xdr:row>91</xdr:row>
      <xdr:rowOff>133350</xdr:rowOff>
    </xdr:to>
    <xdr:grpSp>
      <xdr:nvGrpSpPr>
        <xdr:cNvPr id="1" name="Group 14"/>
        <xdr:cNvGrpSpPr>
          <a:grpSpLocks/>
        </xdr:cNvGrpSpPr>
      </xdr:nvGrpSpPr>
      <xdr:grpSpPr>
        <a:xfrm>
          <a:off x="276225" y="18192750"/>
          <a:ext cx="1733550" cy="352425"/>
          <a:chOff x="88" y="75"/>
          <a:chExt cx="243" cy="46"/>
        </a:xfrm>
        <a:solidFill>
          <a:srgbClr val="FFFFFF"/>
        </a:solidFill>
      </xdr:grpSpPr>
      <xdr:grpSp>
        <xdr:nvGrpSpPr>
          <xdr:cNvPr id="2" name="Group 15"/>
          <xdr:cNvGrpSpPr>
            <a:grpSpLocks/>
          </xdr:cNvGrpSpPr>
        </xdr:nvGrpSpPr>
        <xdr:grpSpPr>
          <a:xfrm>
            <a:off x="88" y="75"/>
            <a:ext cx="47" cy="46"/>
            <a:chOff x="104" y="260"/>
            <a:chExt cx="67" cy="71"/>
          </a:xfrm>
          <a:solidFill>
            <a:srgbClr val="FFFFFF"/>
          </a:solidFill>
        </xdr:grpSpPr>
        <xdr:sp>
          <xdr:nvSpPr>
            <xdr:cNvPr id="3" name="Freeform 16"/>
            <xdr:cNvSpPr>
              <a:spLocks/>
            </xdr:cNvSpPr>
          </xdr:nvSpPr>
          <xdr:spPr>
            <a:xfrm>
              <a:off x="110" y="260"/>
              <a:ext cx="54" cy="16"/>
            </a:xfrm>
            <a:custGeom>
              <a:pathLst>
                <a:path h="78" w="267">
                  <a:moveTo>
                    <a:pt x="0" y="78"/>
                  </a:moveTo>
                  <a:lnTo>
                    <a:pt x="267" y="63"/>
                  </a:lnTo>
                  <a:lnTo>
                    <a:pt x="253" y="48"/>
                  </a:lnTo>
                  <a:lnTo>
                    <a:pt x="237" y="34"/>
                  </a:lnTo>
                  <a:lnTo>
                    <a:pt x="221" y="23"/>
                  </a:lnTo>
                  <a:lnTo>
                    <a:pt x="204" y="15"/>
                  </a:lnTo>
                  <a:lnTo>
                    <a:pt x="187" y="7"/>
                  </a:lnTo>
                  <a:lnTo>
                    <a:pt x="169" y="2"/>
                  </a:lnTo>
                  <a:lnTo>
                    <a:pt x="151" y="0"/>
                  </a:lnTo>
                  <a:lnTo>
                    <a:pt x="133" y="0"/>
                  </a:lnTo>
                  <a:lnTo>
                    <a:pt x="114" y="1"/>
                  </a:lnTo>
                  <a:lnTo>
                    <a:pt x="97" y="5"/>
                  </a:lnTo>
                  <a:lnTo>
                    <a:pt x="79" y="11"/>
                  </a:lnTo>
                  <a:lnTo>
                    <a:pt x="62" y="20"/>
                  </a:lnTo>
                  <a:lnTo>
                    <a:pt x="45" y="30"/>
                  </a:lnTo>
                  <a:lnTo>
                    <a:pt x="29" y="44"/>
                  </a:lnTo>
                  <a:lnTo>
                    <a:pt x="14" y="60"/>
                  </a:lnTo>
                  <a:lnTo>
                    <a:pt x="0" y="7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Freeform 17"/>
            <xdr:cNvSpPr>
              <a:spLocks/>
            </xdr:cNvSpPr>
          </xdr:nvSpPr>
          <xdr:spPr>
            <a:xfrm>
              <a:off x="104" y="275"/>
              <a:ext cx="64" cy="22"/>
            </a:xfrm>
            <a:custGeom>
              <a:pathLst>
                <a:path h="108" w="319">
                  <a:moveTo>
                    <a:pt x="3" y="68"/>
                  </a:moveTo>
                  <a:lnTo>
                    <a:pt x="308" y="0"/>
                  </a:lnTo>
                  <a:lnTo>
                    <a:pt x="309" y="2"/>
                  </a:lnTo>
                  <a:lnTo>
                    <a:pt x="311" y="5"/>
                  </a:lnTo>
                  <a:lnTo>
                    <a:pt x="312" y="7"/>
                  </a:lnTo>
                  <a:lnTo>
                    <a:pt x="313" y="10"/>
                  </a:lnTo>
                  <a:lnTo>
                    <a:pt x="315" y="12"/>
                  </a:lnTo>
                  <a:lnTo>
                    <a:pt x="317" y="14"/>
                  </a:lnTo>
                  <a:lnTo>
                    <a:pt x="318" y="18"/>
                  </a:lnTo>
                  <a:lnTo>
                    <a:pt x="319" y="21"/>
                  </a:lnTo>
                  <a:lnTo>
                    <a:pt x="0" y="108"/>
                  </a:lnTo>
                  <a:lnTo>
                    <a:pt x="0" y="104"/>
                  </a:lnTo>
                  <a:lnTo>
                    <a:pt x="1" y="99"/>
                  </a:lnTo>
                  <a:lnTo>
                    <a:pt x="1" y="94"/>
                  </a:lnTo>
                  <a:lnTo>
                    <a:pt x="1" y="89"/>
                  </a:lnTo>
                  <a:lnTo>
                    <a:pt x="1" y="84"/>
                  </a:lnTo>
                  <a:lnTo>
                    <a:pt x="2" y="78"/>
                  </a:lnTo>
                  <a:lnTo>
                    <a:pt x="2" y="73"/>
                  </a:lnTo>
                  <a:lnTo>
                    <a:pt x="3" y="6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18"/>
            <xdr:cNvSpPr>
              <a:spLocks/>
            </xdr:cNvSpPr>
          </xdr:nvSpPr>
          <xdr:spPr>
            <a:xfrm>
              <a:off x="107" y="281"/>
              <a:ext cx="63" cy="36"/>
            </a:xfrm>
            <a:custGeom>
              <a:pathLst>
                <a:path h="178" w="313">
                  <a:moveTo>
                    <a:pt x="0" y="148"/>
                  </a:moveTo>
                  <a:lnTo>
                    <a:pt x="307" y="0"/>
                  </a:lnTo>
                  <a:lnTo>
                    <a:pt x="308" y="3"/>
                  </a:lnTo>
                  <a:lnTo>
                    <a:pt x="309" y="5"/>
                  </a:lnTo>
                  <a:lnTo>
                    <a:pt x="309" y="9"/>
                  </a:lnTo>
                  <a:lnTo>
                    <a:pt x="310" y="11"/>
                  </a:lnTo>
                  <a:lnTo>
                    <a:pt x="311" y="14"/>
                  </a:lnTo>
                  <a:lnTo>
                    <a:pt x="312" y="16"/>
                  </a:lnTo>
                  <a:lnTo>
                    <a:pt x="312" y="18"/>
                  </a:lnTo>
                  <a:lnTo>
                    <a:pt x="313" y="22"/>
                  </a:lnTo>
                  <a:lnTo>
                    <a:pt x="18" y="178"/>
                  </a:lnTo>
                  <a:lnTo>
                    <a:pt x="15" y="175"/>
                  </a:lnTo>
                  <a:lnTo>
                    <a:pt x="13" y="171"/>
                  </a:lnTo>
                  <a:lnTo>
                    <a:pt x="10" y="167"/>
                  </a:lnTo>
                  <a:lnTo>
                    <a:pt x="8" y="164"/>
                  </a:lnTo>
                  <a:lnTo>
                    <a:pt x="6" y="160"/>
                  </a:lnTo>
                  <a:lnTo>
                    <a:pt x="3" y="156"/>
                  </a:lnTo>
                  <a:lnTo>
                    <a:pt x="2" y="151"/>
                  </a:lnTo>
                  <a:lnTo>
                    <a:pt x="0" y="14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19"/>
            <xdr:cNvSpPr>
              <a:spLocks/>
            </xdr:cNvSpPr>
          </xdr:nvSpPr>
          <xdr:spPr>
            <a:xfrm>
              <a:off x="122" y="289"/>
              <a:ext cx="49" cy="42"/>
            </a:xfrm>
            <a:custGeom>
              <a:pathLst>
                <a:path h="212" w="246">
                  <a:moveTo>
                    <a:pt x="244" y="0"/>
                  </a:moveTo>
                  <a:lnTo>
                    <a:pt x="0" y="191"/>
                  </a:lnTo>
                  <a:lnTo>
                    <a:pt x="13" y="197"/>
                  </a:lnTo>
                  <a:lnTo>
                    <a:pt x="26" y="202"/>
                  </a:lnTo>
                  <a:lnTo>
                    <a:pt x="38" y="206"/>
                  </a:lnTo>
                  <a:lnTo>
                    <a:pt x="51" y="208"/>
                  </a:lnTo>
                  <a:lnTo>
                    <a:pt x="63" y="211"/>
                  </a:lnTo>
                  <a:lnTo>
                    <a:pt x="76" y="212"/>
                  </a:lnTo>
                  <a:lnTo>
                    <a:pt x="87" y="211"/>
                  </a:lnTo>
                  <a:lnTo>
                    <a:pt x="100" y="211"/>
                  </a:lnTo>
                  <a:lnTo>
                    <a:pt x="111" y="208"/>
                  </a:lnTo>
                  <a:lnTo>
                    <a:pt x="122" y="206"/>
                  </a:lnTo>
                  <a:lnTo>
                    <a:pt x="133" y="202"/>
                  </a:lnTo>
                  <a:lnTo>
                    <a:pt x="144" y="197"/>
                  </a:lnTo>
                  <a:lnTo>
                    <a:pt x="154" y="192"/>
                  </a:lnTo>
                  <a:lnTo>
                    <a:pt x="163" y="186"/>
                  </a:lnTo>
                  <a:lnTo>
                    <a:pt x="173" y="180"/>
                  </a:lnTo>
                  <a:lnTo>
                    <a:pt x="183" y="173"/>
                  </a:lnTo>
                  <a:lnTo>
                    <a:pt x="191" y="166"/>
                  </a:lnTo>
                  <a:lnTo>
                    <a:pt x="198" y="157"/>
                  </a:lnTo>
                  <a:lnTo>
                    <a:pt x="206" y="149"/>
                  </a:lnTo>
                  <a:lnTo>
                    <a:pt x="213" y="139"/>
                  </a:lnTo>
                  <a:lnTo>
                    <a:pt x="220" y="129"/>
                  </a:lnTo>
                  <a:lnTo>
                    <a:pt x="226" y="119"/>
                  </a:lnTo>
                  <a:lnTo>
                    <a:pt x="230" y="108"/>
                  </a:lnTo>
                  <a:lnTo>
                    <a:pt x="235" y="97"/>
                  </a:lnTo>
                  <a:lnTo>
                    <a:pt x="238" y="85"/>
                  </a:lnTo>
                  <a:lnTo>
                    <a:pt x="242" y="74"/>
                  </a:lnTo>
                  <a:lnTo>
                    <a:pt x="244" y="62"/>
                  </a:lnTo>
                  <a:lnTo>
                    <a:pt x="245" y="50"/>
                  </a:lnTo>
                  <a:lnTo>
                    <a:pt x="246" y="38"/>
                  </a:lnTo>
                  <a:lnTo>
                    <a:pt x="246" y="25"/>
                  </a:lnTo>
                  <a:lnTo>
                    <a:pt x="245" y="1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20"/>
          <xdr:cNvSpPr>
            <a:spLocks/>
          </xdr:cNvSpPr>
        </xdr:nvSpPr>
        <xdr:spPr>
          <a:xfrm>
            <a:off x="139" y="87"/>
            <a:ext cx="10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ENECON S.A.</a:t>
            </a:r>
          </a:p>
        </xdr:txBody>
      </xdr:sp>
      <xdr:sp>
        <xdr:nvSpPr>
          <xdr:cNvPr id="8" name="Rectangle 21"/>
          <xdr:cNvSpPr>
            <a:spLocks/>
          </xdr:cNvSpPr>
        </xdr:nvSpPr>
        <xdr:spPr>
          <a:xfrm>
            <a:off x="139" y="106"/>
            <a:ext cx="19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Engenheiros e Economistas Consultores</a:t>
            </a:r>
          </a:p>
        </xdr:txBody>
      </xdr:sp>
    </xdr:grpSp>
    <xdr:clientData/>
  </xdr:twoCellAnchor>
  <xdr:twoCellAnchor>
    <xdr:from>
      <xdr:col>2</xdr:col>
      <xdr:colOff>38100</xdr:colOff>
      <xdr:row>46</xdr:row>
      <xdr:rowOff>76200</xdr:rowOff>
    </xdr:from>
    <xdr:to>
      <xdr:col>5</xdr:col>
      <xdr:colOff>457200</xdr:colOff>
      <xdr:row>47</xdr:row>
      <xdr:rowOff>171450</xdr:rowOff>
    </xdr:to>
    <xdr:grpSp>
      <xdr:nvGrpSpPr>
        <xdr:cNvPr id="9" name="Group 22"/>
        <xdr:cNvGrpSpPr>
          <a:grpSpLocks/>
        </xdr:cNvGrpSpPr>
      </xdr:nvGrpSpPr>
      <xdr:grpSpPr>
        <a:xfrm>
          <a:off x="276225" y="9315450"/>
          <a:ext cx="1752600" cy="342900"/>
          <a:chOff x="88" y="75"/>
          <a:chExt cx="232" cy="46"/>
        </a:xfrm>
        <a:solidFill>
          <a:srgbClr val="FFFFFF"/>
        </a:solidFill>
      </xdr:grpSpPr>
      <xdr:grpSp>
        <xdr:nvGrpSpPr>
          <xdr:cNvPr id="10" name="Group 23"/>
          <xdr:cNvGrpSpPr>
            <a:grpSpLocks/>
          </xdr:cNvGrpSpPr>
        </xdr:nvGrpSpPr>
        <xdr:grpSpPr>
          <a:xfrm>
            <a:off x="88" y="75"/>
            <a:ext cx="47" cy="46"/>
            <a:chOff x="104" y="260"/>
            <a:chExt cx="67" cy="71"/>
          </a:xfrm>
          <a:solidFill>
            <a:srgbClr val="FFFFFF"/>
          </a:solidFill>
        </xdr:grpSpPr>
        <xdr:sp>
          <xdr:nvSpPr>
            <xdr:cNvPr id="11" name="Freeform 24"/>
            <xdr:cNvSpPr>
              <a:spLocks/>
            </xdr:cNvSpPr>
          </xdr:nvSpPr>
          <xdr:spPr>
            <a:xfrm>
              <a:off x="110" y="260"/>
              <a:ext cx="54" cy="16"/>
            </a:xfrm>
            <a:custGeom>
              <a:pathLst>
                <a:path h="78" w="267">
                  <a:moveTo>
                    <a:pt x="0" y="78"/>
                  </a:moveTo>
                  <a:lnTo>
                    <a:pt x="267" y="63"/>
                  </a:lnTo>
                  <a:lnTo>
                    <a:pt x="253" y="48"/>
                  </a:lnTo>
                  <a:lnTo>
                    <a:pt x="237" y="34"/>
                  </a:lnTo>
                  <a:lnTo>
                    <a:pt x="221" y="23"/>
                  </a:lnTo>
                  <a:lnTo>
                    <a:pt x="204" y="15"/>
                  </a:lnTo>
                  <a:lnTo>
                    <a:pt x="187" y="7"/>
                  </a:lnTo>
                  <a:lnTo>
                    <a:pt x="169" y="2"/>
                  </a:lnTo>
                  <a:lnTo>
                    <a:pt x="151" y="0"/>
                  </a:lnTo>
                  <a:lnTo>
                    <a:pt x="133" y="0"/>
                  </a:lnTo>
                  <a:lnTo>
                    <a:pt x="114" y="1"/>
                  </a:lnTo>
                  <a:lnTo>
                    <a:pt x="97" y="5"/>
                  </a:lnTo>
                  <a:lnTo>
                    <a:pt x="79" y="11"/>
                  </a:lnTo>
                  <a:lnTo>
                    <a:pt x="62" y="20"/>
                  </a:lnTo>
                  <a:lnTo>
                    <a:pt x="45" y="30"/>
                  </a:lnTo>
                  <a:lnTo>
                    <a:pt x="29" y="44"/>
                  </a:lnTo>
                  <a:lnTo>
                    <a:pt x="14" y="60"/>
                  </a:lnTo>
                  <a:lnTo>
                    <a:pt x="0" y="7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25"/>
            <xdr:cNvSpPr>
              <a:spLocks/>
            </xdr:cNvSpPr>
          </xdr:nvSpPr>
          <xdr:spPr>
            <a:xfrm>
              <a:off x="104" y="275"/>
              <a:ext cx="64" cy="22"/>
            </a:xfrm>
            <a:custGeom>
              <a:pathLst>
                <a:path h="108" w="319">
                  <a:moveTo>
                    <a:pt x="3" y="68"/>
                  </a:moveTo>
                  <a:lnTo>
                    <a:pt x="308" y="0"/>
                  </a:lnTo>
                  <a:lnTo>
                    <a:pt x="309" y="2"/>
                  </a:lnTo>
                  <a:lnTo>
                    <a:pt x="311" y="5"/>
                  </a:lnTo>
                  <a:lnTo>
                    <a:pt x="312" y="7"/>
                  </a:lnTo>
                  <a:lnTo>
                    <a:pt x="313" y="10"/>
                  </a:lnTo>
                  <a:lnTo>
                    <a:pt x="315" y="12"/>
                  </a:lnTo>
                  <a:lnTo>
                    <a:pt x="317" y="14"/>
                  </a:lnTo>
                  <a:lnTo>
                    <a:pt x="318" y="18"/>
                  </a:lnTo>
                  <a:lnTo>
                    <a:pt x="319" y="21"/>
                  </a:lnTo>
                  <a:lnTo>
                    <a:pt x="0" y="108"/>
                  </a:lnTo>
                  <a:lnTo>
                    <a:pt x="0" y="104"/>
                  </a:lnTo>
                  <a:lnTo>
                    <a:pt x="1" y="99"/>
                  </a:lnTo>
                  <a:lnTo>
                    <a:pt x="1" y="94"/>
                  </a:lnTo>
                  <a:lnTo>
                    <a:pt x="1" y="89"/>
                  </a:lnTo>
                  <a:lnTo>
                    <a:pt x="1" y="84"/>
                  </a:lnTo>
                  <a:lnTo>
                    <a:pt x="2" y="78"/>
                  </a:lnTo>
                  <a:lnTo>
                    <a:pt x="2" y="73"/>
                  </a:lnTo>
                  <a:lnTo>
                    <a:pt x="3" y="6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26"/>
            <xdr:cNvSpPr>
              <a:spLocks/>
            </xdr:cNvSpPr>
          </xdr:nvSpPr>
          <xdr:spPr>
            <a:xfrm>
              <a:off x="107" y="281"/>
              <a:ext cx="63" cy="36"/>
            </a:xfrm>
            <a:custGeom>
              <a:pathLst>
                <a:path h="178" w="313">
                  <a:moveTo>
                    <a:pt x="0" y="148"/>
                  </a:moveTo>
                  <a:lnTo>
                    <a:pt x="307" y="0"/>
                  </a:lnTo>
                  <a:lnTo>
                    <a:pt x="308" y="3"/>
                  </a:lnTo>
                  <a:lnTo>
                    <a:pt x="309" y="5"/>
                  </a:lnTo>
                  <a:lnTo>
                    <a:pt x="309" y="9"/>
                  </a:lnTo>
                  <a:lnTo>
                    <a:pt x="310" y="11"/>
                  </a:lnTo>
                  <a:lnTo>
                    <a:pt x="311" y="14"/>
                  </a:lnTo>
                  <a:lnTo>
                    <a:pt x="312" y="16"/>
                  </a:lnTo>
                  <a:lnTo>
                    <a:pt x="312" y="18"/>
                  </a:lnTo>
                  <a:lnTo>
                    <a:pt x="313" y="22"/>
                  </a:lnTo>
                  <a:lnTo>
                    <a:pt x="18" y="178"/>
                  </a:lnTo>
                  <a:lnTo>
                    <a:pt x="15" y="175"/>
                  </a:lnTo>
                  <a:lnTo>
                    <a:pt x="13" y="171"/>
                  </a:lnTo>
                  <a:lnTo>
                    <a:pt x="10" y="167"/>
                  </a:lnTo>
                  <a:lnTo>
                    <a:pt x="8" y="164"/>
                  </a:lnTo>
                  <a:lnTo>
                    <a:pt x="6" y="160"/>
                  </a:lnTo>
                  <a:lnTo>
                    <a:pt x="3" y="156"/>
                  </a:lnTo>
                  <a:lnTo>
                    <a:pt x="2" y="151"/>
                  </a:lnTo>
                  <a:lnTo>
                    <a:pt x="0" y="148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27"/>
            <xdr:cNvSpPr>
              <a:spLocks/>
            </xdr:cNvSpPr>
          </xdr:nvSpPr>
          <xdr:spPr>
            <a:xfrm>
              <a:off x="122" y="289"/>
              <a:ext cx="49" cy="42"/>
            </a:xfrm>
            <a:custGeom>
              <a:pathLst>
                <a:path h="212" w="246">
                  <a:moveTo>
                    <a:pt x="244" y="0"/>
                  </a:moveTo>
                  <a:lnTo>
                    <a:pt x="0" y="191"/>
                  </a:lnTo>
                  <a:lnTo>
                    <a:pt x="13" y="197"/>
                  </a:lnTo>
                  <a:lnTo>
                    <a:pt x="26" y="202"/>
                  </a:lnTo>
                  <a:lnTo>
                    <a:pt x="38" y="206"/>
                  </a:lnTo>
                  <a:lnTo>
                    <a:pt x="51" y="208"/>
                  </a:lnTo>
                  <a:lnTo>
                    <a:pt x="63" y="211"/>
                  </a:lnTo>
                  <a:lnTo>
                    <a:pt x="76" y="212"/>
                  </a:lnTo>
                  <a:lnTo>
                    <a:pt x="87" y="211"/>
                  </a:lnTo>
                  <a:lnTo>
                    <a:pt x="100" y="211"/>
                  </a:lnTo>
                  <a:lnTo>
                    <a:pt x="111" y="208"/>
                  </a:lnTo>
                  <a:lnTo>
                    <a:pt x="122" y="206"/>
                  </a:lnTo>
                  <a:lnTo>
                    <a:pt x="133" y="202"/>
                  </a:lnTo>
                  <a:lnTo>
                    <a:pt x="144" y="197"/>
                  </a:lnTo>
                  <a:lnTo>
                    <a:pt x="154" y="192"/>
                  </a:lnTo>
                  <a:lnTo>
                    <a:pt x="163" y="186"/>
                  </a:lnTo>
                  <a:lnTo>
                    <a:pt x="173" y="180"/>
                  </a:lnTo>
                  <a:lnTo>
                    <a:pt x="183" y="173"/>
                  </a:lnTo>
                  <a:lnTo>
                    <a:pt x="191" y="166"/>
                  </a:lnTo>
                  <a:lnTo>
                    <a:pt x="198" y="157"/>
                  </a:lnTo>
                  <a:lnTo>
                    <a:pt x="206" y="149"/>
                  </a:lnTo>
                  <a:lnTo>
                    <a:pt x="213" y="139"/>
                  </a:lnTo>
                  <a:lnTo>
                    <a:pt x="220" y="129"/>
                  </a:lnTo>
                  <a:lnTo>
                    <a:pt x="226" y="119"/>
                  </a:lnTo>
                  <a:lnTo>
                    <a:pt x="230" y="108"/>
                  </a:lnTo>
                  <a:lnTo>
                    <a:pt x="235" y="97"/>
                  </a:lnTo>
                  <a:lnTo>
                    <a:pt x="238" y="85"/>
                  </a:lnTo>
                  <a:lnTo>
                    <a:pt x="242" y="74"/>
                  </a:lnTo>
                  <a:lnTo>
                    <a:pt x="244" y="62"/>
                  </a:lnTo>
                  <a:lnTo>
                    <a:pt x="245" y="50"/>
                  </a:lnTo>
                  <a:lnTo>
                    <a:pt x="246" y="38"/>
                  </a:lnTo>
                  <a:lnTo>
                    <a:pt x="246" y="25"/>
                  </a:lnTo>
                  <a:lnTo>
                    <a:pt x="245" y="1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Rectangle 28"/>
          <xdr:cNvSpPr>
            <a:spLocks/>
          </xdr:cNvSpPr>
        </xdr:nvSpPr>
        <xdr:spPr>
          <a:xfrm>
            <a:off x="138" y="89"/>
            <a:ext cx="10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ENECON S.A.</a:t>
            </a:r>
          </a:p>
        </xdr:txBody>
      </xdr:sp>
      <xdr:sp>
        <xdr:nvSpPr>
          <xdr:cNvPr id="16" name="Rectangle 29"/>
          <xdr:cNvSpPr>
            <a:spLocks/>
          </xdr:cNvSpPr>
        </xdr:nvSpPr>
        <xdr:spPr>
          <a:xfrm>
            <a:off x="138" y="106"/>
            <a:ext cx="18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Engenheiros e Economistas Consultores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123825</xdr:rowOff>
    </xdr:from>
    <xdr:to>
      <xdr:col>4</xdr:col>
      <xdr:colOff>190500</xdr:colOff>
      <xdr:row>3</xdr:row>
      <xdr:rowOff>161925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133350</xdr:rowOff>
    </xdr:from>
    <xdr:to>
      <xdr:col>4</xdr:col>
      <xdr:colOff>171450</xdr:colOff>
      <xdr:row>3</xdr:row>
      <xdr:rowOff>171450</xdr:rowOff>
    </xdr:to>
    <xdr:pic>
      <xdr:nvPicPr>
        <xdr:cNvPr id="2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438150</xdr:colOff>
      <xdr:row>3</xdr:row>
      <xdr:rowOff>47625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152400</xdr:rowOff>
    </xdr:from>
    <xdr:to>
      <xdr:col>5</xdr:col>
      <xdr:colOff>476250</xdr:colOff>
      <xdr:row>3</xdr:row>
      <xdr:rowOff>190500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123825</xdr:rowOff>
    </xdr:from>
    <xdr:to>
      <xdr:col>5</xdr:col>
      <xdr:colOff>457200</xdr:colOff>
      <xdr:row>3</xdr:row>
      <xdr:rowOff>161925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123825</xdr:rowOff>
    </xdr:from>
    <xdr:to>
      <xdr:col>5</xdr:col>
      <xdr:colOff>457200</xdr:colOff>
      <xdr:row>3</xdr:row>
      <xdr:rowOff>161925</xdr:rowOff>
    </xdr:to>
    <xdr:pic>
      <xdr:nvPicPr>
        <xdr:cNvPr id="1" name="Imagem 1" descr="LOGO-PROGEN-G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66675</xdr:rowOff>
    </xdr:from>
    <xdr:to>
      <xdr:col>5</xdr:col>
      <xdr:colOff>161925</xdr:colOff>
      <xdr:row>4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2875"/>
          <a:ext cx="1257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RENAGEM\25-%20NOVA%20ERA_S-324\001%20-%20Sarjet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drenagem\00%20-%20DRENAGEM\Cont%20484%20-%20Projeto%20Virgol&#226;ndia%20-%20Marilac%20-%20DER%20MG\Virgol&#226;ndia\A%20-%20Lote%201_%20(VIRGOLANDIA)%20Est.%200%20a%20Est.%201121\FINAL%20-%20Projeto%20de%20Drenagem\Valetas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drenagem\00%20-%20DRENAGEM\Cont%20484%20-%20Projeto%20Virgol&#226;ndia%20-%20Marilac%20-%20DER%20MG\Virgol&#226;ndia\A%20-%20Lote%201_%20(VIRGOLANDIA)%20Est.%200%20a%20Est.%201121\FINAL%20-%20Projeto%20de%20Drenagem\Valetas%20DR.VP-01%2050x75_Coroaci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RENAGEM\26-%20UBERABA%20Supervis&#227;o%20_%20S000\1-%20Sarje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RENAGEM\26-%20UBERABA%20Supervis&#227;o%20_%20S000\1-%20Sarjetas_Uberab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0%20-%20DRENAGEM\Cont%20486%20-%20Projeto%20Pedro%20Leopoldo%20MG424%20DER%20MG\Arquivos%20de%20Trabalho\DRENAGEM%20SUPERFICIAL\Sarje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0%20-%20DRENAGEM\202%20-%20Cont%20480%20-%20Delta%20a%20Juba&#237;%20a%20Ponte%20Alta\DRENAGEM%20SUPERFICIAL\Sarjetas%20e%20Vale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0%20-%20DRENAGEM\25%20-%20Cont%20324%20-%20Nova%20Era\1%20_%20RELAT&#211;RIO%20FINAL\IT45_P.D.Drenagem%20Superfici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drenagem\1%20-%20DRENAGEM\25-%20NOVA%20ERA_S-324\001%20-%20Sarje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0%20-%20DRENAGEM\Cont%20511%20-%20Projeto%20Pe&#231;anha%20-%20Coroaci\Arquivos%20Projeto%20Final\Hidrologia%20e%20Drenagem_%20Pe&#231;anha\P.%20DRENAGEM\Sarjetas-Valetas-Pe&#231;anh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drenagem\00%20-%20DRENAGEM\202%20-%20Cont%20480%20-%20Delta%20a%20Juba&#237;%20a%20Ponte%20Alta\DRENAGEM%20SUPERFICIAL\Sarjetas%20e%20Vale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TÃO"/>
      <sheetName val="GRÁFICO-VALETÃO"/>
      <sheetName val="BASE"/>
      <sheetName val="TESTE_IZZARD"/>
      <sheetName val="New J_Bordo I (y=11,5)"/>
      <sheetName val="New J_Bordo I (y=14,0) "/>
      <sheetName val="MFC-01-Com PASSEIO"/>
      <sheetName val="MFC-01-SemPASSEIO "/>
      <sheetName val="STC-02 "/>
      <sheetName val="Am(m²)-Pm(m)"/>
    </sheetNames>
    <sheetDataSet>
      <sheetData sheetId="2">
        <row r="14">
          <cell r="L14" t="str">
            <v>Ouro Preto - MG</v>
          </cell>
        </row>
        <row r="15">
          <cell r="K15">
            <v>10</v>
          </cell>
        </row>
        <row r="16">
          <cell r="K16">
            <v>5</v>
          </cell>
        </row>
        <row r="17">
          <cell r="D17">
            <v>0.015</v>
          </cell>
          <cell r="K17">
            <v>151.55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VPA "/>
      <sheetName val="VP - 03_C"/>
      <sheetName val="Am(m²)-Pm(m) "/>
    </sheetNames>
    <sheetDataSet>
      <sheetData sheetId="0">
        <row r="2">
          <cell r="G2" t="str">
            <v>PROJETO   DE  DRENAGEM</v>
          </cell>
        </row>
        <row r="15">
          <cell r="J15" t="str">
            <v>Tr  =</v>
          </cell>
          <cell r="L15" t="str">
            <v>anos</v>
          </cell>
        </row>
        <row r="16">
          <cell r="J16" t="str">
            <v>Tc =</v>
          </cell>
          <cell r="L16" t="str">
            <v>minutos</v>
          </cell>
        </row>
        <row r="17">
          <cell r="J17" t="str">
            <v>I   =</v>
          </cell>
          <cell r="L17" t="str">
            <v>mm/h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E-MFC-EX"/>
      <sheetName val="PN-MFC-01"/>
      <sheetName val="SCC_50-15 "/>
      <sheetName val="SCC_50-20"/>
      <sheetName val="VP - 01"/>
      <sheetName val="BASE "/>
      <sheetName val="Am(m²)-Pm(m) "/>
    </sheetNames>
    <sheetDataSet>
      <sheetData sheetId="5">
        <row r="14">
          <cell r="J14" t="str">
            <v>POSTO:</v>
          </cell>
        </row>
        <row r="15">
          <cell r="K15">
            <v>10</v>
          </cell>
        </row>
        <row r="16">
          <cell r="K1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C-01_B. Interno"/>
      <sheetName val="MFC-01_B. Externo"/>
      <sheetName val="MFC-Existente"/>
      <sheetName val="Am(m²)-Pm(m)"/>
      <sheetName val="BASE"/>
      <sheetName val="MFC-01-COM PASSEIO"/>
      <sheetName val="MFC-01-"/>
      <sheetName val="MFC-00"/>
      <sheetName val="MFC-EX"/>
      <sheetName val="SUDECAP B_218,26"/>
      <sheetName val="SCA-40-20"/>
      <sheetName val="SCC-60_15"/>
      <sheetName val="SCC-60_20"/>
      <sheetName val="SCC-70_30"/>
      <sheetName val="STC-09_P. Específico "/>
    </sheetNames>
    <sheetDataSet>
      <sheetData sheetId="4">
        <row r="17">
          <cell r="D17">
            <v>0.015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-MFC-EX"/>
      <sheetName val="PN-MFC-01"/>
      <sheetName val="BASE"/>
      <sheetName val="MFC-01_B. Interno"/>
      <sheetName val="MFC-01_B. Externo"/>
      <sheetName val="MFC-Existente"/>
      <sheetName val="Am(m²)-Pm(m)"/>
      <sheetName val="MFC-01-COM PASSEIO"/>
      <sheetName val="MFC-01-"/>
      <sheetName val="MFC-00"/>
      <sheetName val="MFC-EX"/>
      <sheetName val="SCA-40-20"/>
      <sheetName val="STC-01"/>
      <sheetName val="STC-02"/>
      <sheetName val="STC-05"/>
    </sheetNames>
    <sheetDataSet>
      <sheetData sheetId="2">
        <row r="2">
          <cell r="G2" t="str">
            <v>PROJETO  DE  DRENAGEM</v>
          </cell>
        </row>
        <row r="3">
          <cell r="G3" t="str">
            <v>RODOVIA : BR-050/MG</v>
          </cell>
        </row>
        <row r="4">
          <cell r="G4" t="str">
            <v>TRECHO: </v>
          </cell>
        </row>
        <row r="5">
          <cell r="G5" t="str">
            <v>SUBTRECHO: Rio Caçu - Divisa MG/SP ( Delta )</v>
          </cell>
        </row>
        <row r="17">
          <cell r="D17">
            <v>0.015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gotipo"/>
      <sheetName val="BASE "/>
      <sheetName val="SCA_50-15"/>
      <sheetName val="SCA_50-20"/>
      <sheetName val="PE-MFC-EX"/>
      <sheetName val="PN-MFC-01"/>
      <sheetName val="SCC_70-15=PS"/>
      <sheetName val="SCC_70-20=PS"/>
      <sheetName val="SCC_70-15=3ª Fx"/>
      <sheetName val="SCC_70-20=3ª Fx"/>
      <sheetName val="SBA-02_BANQUETA-ATERRO"/>
      <sheetName val="SBC-02_BANQUETA-CORTE"/>
      <sheetName val="SCC-0X"/>
      <sheetName val="Cálculos-Am_Pm  "/>
      <sheetName val="Am(m²)-Pm(m) "/>
    </sheetNames>
    <sheetDataSet>
      <sheetData sheetId="1">
        <row r="2">
          <cell r="G2" t="str">
            <v>PROJETO  DE  DRENAGEM</v>
          </cell>
        </row>
        <row r="3">
          <cell r="G3" t="str">
            <v>Rodovia: MG-424</v>
          </cell>
        </row>
        <row r="4">
          <cell r="G4" t="str">
            <v>Trecho: Entroncamento MG-010  -  Sete Lagoas</v>
          </cell>
        </row>
        <row r="14">
          <cell r="L14" t="str">
            <v>Sete Lagoas - MG</v>
          </cell>
        </row>
        <row r="15">
          <cell r="K15">
            <v>10</v>
          </cell>
        </row>
        <row r="16">
          <cell r="K16">
            <v>5</v>
          </cell>
        </row>
        <row r="17">
          <cell r="D17">
            <v>0.015</v>
          </cell>
          <cell r="K17">
            <v>148.68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PA -"/>
      <sheetName val="VP  03(75x50)Concreto"/>
      <sheetName val="VP  03(125x100)concreto"/>
      <sheetName val="VP  01(75x50)TN"/>
      <sheetName val="PE-MFC-EX"/>
      <sheetName val="PN-MFC-01"/>
      <sheetName val="SCC-70-15 "/>
      <sheetName val="SCA_50-15"/>
      <sheetName val="BASE "/>
      <sheetName val="Cálculos-Am_Pm  "/>
      <sheetName val="Am(m²)-Pm(m) "/>
    </sheetNames>
    <sheetDataSet>
      <sheetData sheetId="8">
        <row r="2">
          <cell r="G2" t="str">
            <v>PROJETO  DE  DRENAGEM</v>
          </cell>
        </row>
        <row r="17">
          <cell r="D17">
            <v>0.015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m(m²)-Pm(m)"/>
      <sheetName val="VPC-03(A)"/>
      <sheetName val="VPA-03(B) "/>
      <sheetName val="STC-02(C) "/>
      <sheetName val="STC-04(D)"/>
      <sheetName val="Calha Ø 0,30(E)"/>
      <sheetName val="SCC-01(F)"/>
      <sheetName val="MFC-01_P.S._Ramos(G)"/>
      <sheetName val="MFC-01 _P.D.(H)"/>
      <sheetName val="CANALETA-(REVER)"/>
      <sheetName val="VALETÃO"/>
      <sheetName val="GRÁFICO-VALETÃO"/>
      <sheetName val="TESTE_IZZARD"/>
      <sheetName val="MFC-09(I)"/>
      <sheetName val="New J_Bordo I (y=14,0) "/>
      <sheetName val="MFC-01- Multivia Com PASSEIO"/>
      <sheetName val="MFC-01 Multivia -Sem PASSEIO "/>
    </sheetNames>
    <sheetDataSet>
      <sheetData sheetId="0">
        <row r="2">
          <cell r="G2" t="str">
            <v>PROJETO  DE  DRENAGEM</v>
          </cell>
        </row>
        <row r="15">
          <cell r="K15">
            <v>10</v>
          </cell>
        </row>
        <row r="17">
          <cell r="D17">
            <v>0.015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ETÃO"/>
      <sheetName val="GRÁFICO-VALETÃO"/>
      <sheetName val="BASE"/>
      <sheetName val="TESTE_IZZARD"/>
      <sheetName val="New J_Bordo I (y=11,5)"/>
      <sheetName val="New J_Bordo I (y=14,0) "/>
      <sheetName val="MFC-01-Com PASSEIO"/>
      <sheetName val="MFC-01-SemPASSEIO "/>
      <sheetName val="STC-02 "/>
      <sheetName val="Am(m²)-Pm(m)"/>
    </sheetNames>
    <sheetDataSet>
      <sheetData sheetId="2">
        <row r="17">
          <cell r="D17">
            <v>0.015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E-MFC-EX"/>
      <sheetName val="PN-MFC-01"/>
      <sheetName val="SCC_50-15 "/>
      <sheetName val="SCC_50-20"/>
      <sheetName val="VPA "/>
      <sheetName val="VP - 01"/>
      <sheetName val="VP - 01 "/>
      <sheetName val="VP - 03"/>
      <sheetName val="SCC_50-15"/>
      <sheetName val="SCC_50-10)"/>
      <sheetName val="SCA_30-10"/>
      <sheetName val="BASE "/>
      <sheetName val="Am(m²)-Pm(m) "/>
    </sheetNames>
    <sheetDataSet>
      <sheetData sheetId="11">
        <row r="2">
          <cell r="G2" t="str">
            <v>PROJETO  DE  DRENAGEM</v>
          </cell>
        </row>
        <row r="3">
          <cell r="G3" t="str">
            <v>Rodovia: MG-314</v>
          </cell>
        </row>
        <row r="4">
          <cell r="G4" t="str">
            <v>Trecho: Entrº MG-416 (Peçanha) - LMG-744 (Coroaci)</v>
          </cell>
        </row>
        <row r="14">
          <cell r="J14" t="str">
            <v>POSTO:</v>
          </cell>
          <cell r="L14" t="str">
            <v>Governador Valadares-MG</v>
          </cell>
        </row>
        <row r="15">
          <cell r="K15">
            <v>10</v>
          </cell>
        </row>
        <row r="16">
          <cell r="K16">
            <v>10</v>
          </cell>
        </row>
        <row r="17">
          <cell r="D17">
            <v>0.015</v>
          </cell>
          <cell r="K17">
            <v>144.13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PA -"/>
      <sheetName val="VP  03(75x50)Concreto"/>
      <sheetName val="VP  03(125x100)concreto"/>
      <sheetName val="VP  01(75x50)TN"/>
      <sheetName val="PE-MFC-EX"/>
      <sheetName val="PN-MFC-01"/>
      <sheetName val="SCC-70-15 "/>
      <sheetName val="SCA_50-15"/>
      <sheetName val="BASE "/>
      <sheetName val="Cálculos-Am_Pm  "/>
      <sheetName val="Am(m²)-Pm(m) "/>
    </sheetNames>
    <sheetDataSet>
      <sheetData sheetId="8">
        <row r="17">
          <cell r="D17">
            <v>0.015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vmlDrawing" Target="../drawings/vmlDrawing16.vml" /><Relationship Id="rId7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vmlDrawing" Target="../drawings/vmlDrawing18.vml" /><Relationship Id="rId8" Type="http://schemas.openxmlformats.org/officeDocument/2006/relationships/drawing" Target="../drawings/drawing12.xml" /><Relationship Id="rId9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oleObject" Target="../embeddings/oleObject_21_2.bin" /><Relationship Id="rId4" Type="http://schemas.openxmlformats.org/officeDocument/2006/relationships/oleObject" Target="../embeddings/oleObject_21_3.bin" /><Relationship Id="rId5" Type="http://schemas.openxmlformats.org/officeDocument/2006/relationships/oleObject" Target="../embeddings/oleObject_21_4.bin" /><Relationship Id="rId6" Type="http://schemas.openxmlformats.org/officeDocument/2006/relationships/vmlDrawing" Target="../drawings/vmlDrawing20.vml" /><Relationship Id="rId7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0_0.bin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1_0.bin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2_0.bin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3_0.bin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5_0.bin" /><Relationship Id="rId2" Type="http://schemas.openxmlformats.org/officeDocument/2006/relationships/oleObject" Target="../embeddings/oleObject_35_1.bin" /><Relationship Id="rId3" Type="http://schemas.openxmlformats.org/officeDocument/2006/relationships/oleObject" Target="../embeddings/oleObject_35_2.bin" /><Relationship Id="rId4" Type="http://schemas.openxmlformats.org/officeDocument/2006/relationships/oleObject" Target="../embeddings/oleObject_35_3.bin" /><Relationship Id="rId5" Type="http://schemas.openxmlformats.org/officeDocument/2006/relationships/oleObject" Target="../embeddings/oleObject_35_4.bin" /><Relationship Id="rId6" Type="http://schemas.openxmlformats.org/officeDocument/2006/relationships/vmlDrawing" Target="../drawings/vmlDrawing32.vml" /><Relationship Id="rId7" Type="http://schemas.openxmlformats.org/officeDocument/2006/relationships/drawing" Target="../drawings/drawing15.xml" /><Relationship Id="rId8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6"/>
  <sheetViews>
    <sheetView zoomScalePageLayoutView="0" workbookViewId="0" topLeftCell="A13">
      <selection activeCell="G2" sqref="G2:O5"/>
    </sheetView>
  </sheetViews>
  <sheetFormatPr defaultColWidth="9.140625" defaultRowHeight="12.75"/>
  <cols>
    <col min="1" max="1" width="2.421875" style="192" customWidth="1"/>
    <col min="2" max="2" width="7.00390625" style="192" customWidth="1"/>
    <col min="3" max="3" width="10.140625" style="192" customWidth="1"/>
    <col min="4" max="5" width="5.421875" style="192" customWidth="1"/>
    <col min="6" max="10" width="5.7109375" style="192" customWidth="1"/>
    <col min="11" max="11" width="6.421875" style="192" customWidth="1"/>
    <col min="12" max="14" width="5.7109375" style="192" customWidth="1"/>
    <col min="15" max="15" width="8.140625" style="192" customWidth="1"/>
    <col min="16" max="16" width="5.7109375" style="192" customWidth="1"/>
    <col min="17" max="17" width="10.421875" style="192" bestFit="1" customWidth="1"/>
    <col min="18" max="18" width="9.140625" style="192" customWidth="1"/>
    <col min="19" max="19" width="7.8515625" style="192" customWidth="1"/>
    <col min="20" max="20" width="7.421875" style="192" customWidth="1"/>
    <col min="21" max="21" width="8.140625" style="192" customWidth="1"/>
    <col min="22" max="22" width="7.7109375" style="192" customWidth="1"/>
    <col min="23" max="23" width="6.8515625" style="192" customWidth="1"/>
    <col min="24" max="24" width="4.421875" style="211" customWidth="1"/>
    <col min="25" max="16384" width="9.140625" style="192" customWidth="1"/>
  </cols>
  <sheetData>
    <row r="1" ht="12.75">
      <c r="H1" s="344"/>
    </row>
    <row r="2" spans="3:15" ht="19.5" customHeight="1">
      <c r="C2" s="830"/>
      <c r="D2" s="831"/>
      <c r="E2" s="831"/>
      <c r="F2" s="832"/>
      <c r="G2" s="817" t="s">
        <v>50</v>
      </c>
      <c r="H2" s="818"/>
      <c r="I2" s="818"/>
      <c r="J2" s="818"/>
      <c r="K2" s="818"/>
      <c r="L2" s="818"/>
      <c r="M2" s="818"/>
      <c r="N2" s="818"/>
      <c r="O2" s="819"/>
    </row>
    <row r="3" spans="3:18" ht="19.5" customHeight="1">
      <c r="C3" s="833"/>
      <c r="D3" s="810"/>
      <c r="E3" s="810"/>
      <c r="F3" s="834"/>
      <c r="G3" s="814" t="s">
        <v>258</v>
      </c>
      <c r="H3" s="815"/>
      <c r="I3" s="815"/>
      <c r="J3" s="815"/>
      <c r="K3" s="815"/>
      <c r="L3" s="815"/>
      <c r="M3" s="815"/>
      <c r="N3" s="815"/>
      <c r="O3" s="816"/>
      <c r="Q3" s="809"/>
      <c r="R3" s="809"/>
    </row>
    <row r="4" spans="3:18" ht="19.5" customHeight="1">
      <c r="C4" s="833"/>
      <c r="D4" s="810"/>
      <c r="E4" s="810"/>
      <c r="F4" s="834"/>
      <c r="G4" s="814" t="s">
        <v>64</v>
      </c>
      <c r="H4" s="815"/>
      <c r="I4" s="815"/>
      <c r="J4" s="815"/>
      <c r="K4" s="815"/>
      <c r="L4" s="815"/>
      <c r="M4" s="815"/>
      <c r="N4" s="815"/>
      <c r="O4" s="816"/>
      <c r="Q4" s="292"/>
      <c r="R4" s="292"/>
    </row>
    <row r="5" spans="3:15" ht="19.5" customHeight="1">
      <c r="C5" s="835"/>
      <c r="D5" s="836"/>
      <c r="E5" s="836"/>
      <c r="F5" s="837"/>
      <c r="G5" s="820" t="s">
        <v>257</v>
      </c>
      <c r="H5" s="821"/>
      <c r="I5" s="821"/>
      <c r="J5" s="821"/>
      <c r="K5" s="821"/>
      <c r="L5" s="821"/>
      <c r="M5" s="821"/>
      <c r="N5" s="821"/>
      <c r="O5" s="822"/>
    </row>
    <row r="6" spans="3:15" ht="12.75" customHeight="1">
      <c r="C6" s="34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46"/>
    </row>
    <row r="7" spans="2:24" s="75" customFormat="1" ht="12.75" customHeight="1">
      <c r="B7" s="74"/>
      <c r="C7" s="827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9"/>
      <c r="P7" s="76"/>
      <c r="X7" s="127"/>
    </row>
    <row r="8" spans="2:24" s="75" customFormat="1" ht="12.75" customHeight="1">
      <c r="B8" s="74"/>
      <c r="C8" s="824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6"/>
      <c r="P8" s="76"/>
      <c r="X8" s="127"/>
    </row>
    <row r="9" spans="3:15" ht="12.75" customHeight="1">
      <c r="C9" s="34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46"/>
    </row>
    <row r="10" spans="3:15" ht="12.75" customHeight="1">
      <c r="C10" s="345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"/>
      <c r="O10" s="346"/>
    </row>
    <row r="11" spans="3:15" ht="12.75" customHeight="1">
      <c r="C11" s="345"/>
      <c r="M11" s="8"/>
      <c r="N11" s="8"/>
      <c r="O11" s="346"/>
    </row>
    <row r="12" spans="3:15" ht="12.75" customHeight="1">
      <c r="C12" s="345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"/>
      <c r="O12" s="346"/>
    </row>
    <row r="13" spans="3:15" ht="12.75" customHeight="1">
      <c r="C13" s="347"/>
      <c r="D13" s="13"/>
      <c r="E13" s="13"/>
      <c r="F13" s="13"/>
      <c r="G13" s="13"/>
      <c r="H13" s="13"/>
      <c r="I13" s="13"/>
      <c r="O13" s="346"/>
    </row>
    <row r="14" spans="2:15" ht="15" customHeight="1">
      <c r="B14" s="100"/>
      <c r="C14" s="348"/>
      <c r="D14" s="97"/>
      <c r="E14" s="194"/>
      <c r="F14" s="231"/>
      <c r="G14" s="231"/>
      <c r="H14" s="231"/>
      <c r="I14" s="231"/>
      <c r="J14" s="811" t="s">
        <v>51</v>
      </c>
      <c r="K14" s="811"/>
      <c r="L14" s="812" t="s">
        <v>365</v>
      </c>
      <c r="M14" s="812"/>
      <c r="N14" s="812"/>
      <c r="O14" s="222"/>
    </row>
    <row r="15" spans="2:15" ht="15" customHeight="1">
      <c r="B15" s="100"/>
      <c r="C15" s="348"/>
      <c r="D15" s="97"/>
      <c r="E15" s="194"/>
      <c r="F15" s="194"/>
      <c r="G15" s="194"/>
      <c r="H15" s="194"/>
      <c r="I15" s="194"/>
      <c r="J15" s="246" t="s">
        <v>18</v>
      </c>
      <c r="K15" s="256">
        <v>10</v>
      </c>
      <c r="L15" s="194" t="s">
        <v>12</v>
      </c>
      <c r="M15" s="226"/>
      <c r="N15" s="226"/>
      <c r="O15" s="222"/>
    </row>
    <row r="16" spans="2:15" ht="15" customHeight="1">
      <c r="B16" s="100"/>
      <c r="C16" s="348"/>
      <c r="D16" s="97"/>
      <c r="E16" s="194"/>
      <c r="F16" s="349">
        <f>POWER($D$16,2/3)</f>
        <v>0</v>
      </c>
      <c r="G16" s="194"/>
      <c r="H16" s="194"/>
      <c r="I16" s="194"/>
      <c r="J16" s="246" t="s">
        <v>17</v>
      </c>
      <c r="K16" s="256">
        <v>10</v>
      </c>
      <c r="L16" s="194" t="s">
        <v>13</v>
      </c>
      <c r="M16" s="226"/>
      <c r="N16" s="226"/>
      <c r="O16" s="222"/>
    </row>
    <row r="17" spans="2:26" ht="15" customHeight="1">
      <c r="B17" s="100"/>
      <c r="C17" s="348" t="s">
        <v>9</v>
      </c>
      <c r="D17" s="350">
        <v>0.015</v>
      </c>
      <c r="E17" s="194"/>
      <c r="F17" s="194"/>
      <c r="G17" s="194"/>
      <c r="H17" s="194"/>
      <c r="I17" s="194"/>
      <c r="J17" s="246" t="s">
        <v>19</v>
      </c>
      <c r="K17" s="294">
        <v>126</v>
      </c>
      <c r="L17" s="194" t="s">
        <v>14</v>
      </c>
      <c r="M17" s="226"/>
      <c r="N17" s="226"/>
      <c r="O17" s="222"/>
      <c r="Q17" s="8"/>
      <c r="R17" s="8"/>
      <c r="S17" s="8"/>
      <c r="T17" s="8"/>
      <c r="U17" s="8"/>
      <c r="V17" s="8"/>
      <c r="W17" s="8"/>
      <c r="X17" s="293"/>
      <c r="Y17" s="8"/>
      <c r="Z17" s="8"/>
    </row>
    <row r="18" spans="2:26" ht="12.75">
      <c r="B18" s="351"/>
      <c r="C18" s="352"/>
      <c r="D18" s="217"/>
      <c r="E18" s="217"/>
      <c r="F18" s="194"/>
      <c r="G18" s="194"/>
      <c r="H18" s="194"/>
      <c r="I18" s="194"/>
      <c r="J18" s="238"/>
      <c r="K18" s="238"/>
      <c r="L18" s="238"/>
      <c r="M18" s="238"/>
      <c r="N18" s="238"/>
      <c r="O18" s="237"/>
      <c r="P18" s="13"/>
      <c r="Q18" s="7"/>
      <c r="R18" s="114"/>
      <c r="S18" s="114"/>
      <c r="T18" s="7"/>
      <c r="U18" s="8"/>
      <c r="V18" s="8"/>
      <c r="W18" s="8"/>
      <c r="X18" s="293"/>
      <c r="Y18" s="8"/>
      <c r="Z18" s="8"/>
    </row>
    <row r="19" spans="2:26" ht="12.75">
      <c r="B19" s="15"/>
      <c r="C19" s="170"/>
      <c r="D19" s="171"/>
      <c r="E19" s="172"/>
      <c r="F19" s="344"/>
      <c r="G19" s="344"/>
      <c r="H19" s="344"/>
      <c r="I19" s="120"/>
      <c r="J19" s="173"/>
      <c r="K19" s="120"/>
      <c r="L19" s="173"/>
      <c r="M19" s="120"/>
      <c r="N19" s="174"/>
      <c r="O19" s="175"/>
      <c r="P19" s="19">
        <v>0.4</v>
      </c>
      <c r="Q19" s="16"/>
      <c r="R19" s="167"/>
      <c r="S19" s="167"/>
      <c r="T19" s="169"/>
      <c r="U19" s="7"/>
      <c r="V19" s="8"/>
      <c r="W19" s="8"/>
      <c r="X19" s="293"/>
      <c r="Y19" s="8"/>
      <c r="Z19" s="8"/>
    </row>
    <row r="20" spans="17:26" ht="12.75">
      <c r="Q20" s="8"/>
      <c r="R20" s="8"/>
      <c r="S20" s="8"/>
      <c r="T20" s="8"/>
      <c r="U20" s="8"/>
      <c r="V20" s="8"/>
      <c r="W20" s="8"/>
      <c r="X20" s="293"/>
      <c r="Y20" s="8"/>
      <c r="Z20" s="8"/>
    </row>
    <row r="21" spans="17:26" ht="12.75">
      <c r="Q21" s="8"/>
      <c r="R21" s="8"/>
      <c r="S21" s="8"/>
      <c r="T21" s="8"/>
      <c r="U21" s="8"/>
      <c r="V21" s="8"/>
      <c r="W21" s="8"/>
      <c r="X21" s="293"/>
      <c r="Y21" s="8"/>
      <c r="Z21" s="8"/>
    </row>
    <row r="24" spans="3:16" ht="12.75">
      <c r="C24" s="77"/>
      <c r="D24" s="77"/>
      <c r="E24" s="77"/>
      <c r="F24" s="77"/>
      <c r="G24" s="813" t="s">
        <v>143</v>
      </c>
      <c r="H24" s="813"/>
      <c r="I24" s="813" t="s">
        <v>144</v>
      </c>
      <c r="J24" s="813"/>
      <c r="K24" s="813" t="s">
        <v>145</v>
      </c>
      <c r="L24" s="813"/>
      <c r="M24" s="77"/>
      <c r="N24" s="77"/>
      <c r="O24" s="77"/>
      <c r="P24" s="77"/>
    </row>
    <row r="25" spans="3:16" ht="12.75">
      <c r="C25" s="808" t="s">
        <v>146</v>
      </c>
      <c r="D25" s="808"/>
      <c r="E25" s="808"/>
      <c r="F25" s="808"/>
      <c r="G25" s="353">
        <v>3.5</v>
      </c>
      <c r="H25" s="354">
        <v>2</v>
      </c>
      <c r="I25" s="353">
        <v>2</v>
      </c>
      <c r="J25" s="354">
        <v>2</v>
      </c>
      <c r="K25" s="353">
        <v>0.7</v>
      </c>
      <c r="L25" s="354">
        <v>2</v>
      </c>
      <c r="M25" s="77"/>
      <c r="N25" s="77"/>
      <c r="O25" s="355">
        <f>G25*H25+I25*J25+K25*L25</f>
        <v>12.4</v>
      </c>
      <c r="P25" s="356">
        <f>O25/2</f>
        <v>6.2</v>
      </c>
    </row>
    <row r="26" spans="3:16" ht="12.75">
      <c r="C26" s="808" t="s">
        <v>147</v>
      </c>
      <c r="D26" s="808"/>
      <c r="E26" s="808"/>
      <c r="F26" s="808"/>
      <c r="G26" s="353">
        <v>3.5</v>
      </c>
      <c r="H26" s="357">
        <v>3</v>
      </c>
      <c r="I26" s="353">
        <v>2.5</v>
      </c>
      <c r="J26" s="354">
        <v>1</v>
      </c>
      <c r="K26" s="353">
        <v>0.7</v>
      </c>
      <c r="L26" s="354">
        <v>2</v>
      </c>
      <c r="M26" s="77"/>
      <c r="N26" s="77"/>
      <c r="O26" s="355">
        <f>G26*H26+I26*J26+K26*L26</f>
        <v>14.4</v>
      </c>
      <c r="P26" s="358">
        <f>O26/2</f>
        <v>7.2</v>
      </c>
    </row>
  </sheetData>
  <sheetProtection/>
  <mergeCells count="17">
    <mergeCell ref="G2:O2"/>
    <mergeCell ref="G3:O3"/>
    <mergeCell ref="G5:O5"/>
    <mergeCell ref="D10:M10"/>
    <mergeCell ref="C8:O8"/>
    <mergeCell ref="C7:O7"/>
    <mergeCell ref="C2:F5"/>
    <mergeCell ref="C26:F26"/>
    <mergeCell ref="C25:F25"/>
    <mergeCell ref="Q3:R3"/>
    <mergeCell ref="D12:M12"/>
    <mergeCell ref="J14:K14"/>
    <mergeCell ref="L14:N14"/>
    <mergeCell ref="G24:H24"/>
    <mergeCell ref="I24:J24"/>
    <mergeCell ref="K24:L24"/>
    <mergeCell ref="G4:O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45"/>
  <sheetViews>
    <sheetView showGridLines="0" zoomScalePageLayoutView="0" workbookViewId="0" topLeftCell="A1">
      <selection activeCell="B1" sqref="B1:P45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380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R2" s="129"/>
      <c r="S2" s="129"/>
    </row>
    <row r="3" spans="3:15" ht="19.5" customHeight="1">
      <c r="C3" s="881"/>
      <c r="D3" s="882"/>
      <c r="E3" s="882"/>
      <c r="F3" s="883"/>
      <c r="G3" s="864" t="s">
        <v>366</v>
      </c>
      <c r="H3" s="865"/>
      <c r="I3" s="865"/>
      <c r="J3" s="865"/>
      <c r="K3" s="865"/>
      <c r="L3" s="865"/>
      <c r="M3" s="865"/>
      <c r="N3" s="865"/>
      <c r="O3" s="866"/>
    </row>
    <row r="4" spans="3:21" ht="19.5" customHeight="1">
      <c r="C4" s="881"/>
      <c r="D4" s="882"/>
      <c r="E4" s="882"/>
      <c r="F4" s="883"/>
      <c r="G4" s="864" t="s">
        <v>367</v>
      </c>
      <c r="H4" s="865"/>
      <c r="I4" s="865"/>
      <c r="J4" s="865"/>
      <c r="K4" s="865"/>
      <c r="L4" s="865"/>
      <c r="M4" s="865"/>
      <c r="N4" s="865"/>
      <c r="O4" s="866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>
        <f>'[8]BASE '!G5</f>
        <v>0</v>
      </c>
      <c r="H5" s="925"/>
      <c r="I5" s="925"/>
      <c r="J5" s="925"/>
      <c r="K5" s="925"/>
      <c r="L5" s="925"/>
      <c r="M5" s="925"/>
      <c r="N5" s="925"/>
      <c r="O5" s="926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376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803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803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Q9" s="300"/>
      <c r="R9" s="301"/>
      <c r="S9" s="178"/>
      <c r="T9" s="300"/>
      <c r="U9" s="303"/>
    </row>
    <row r="10" spans="3:21" ht="12.75">
      <c r="C10" s="82"/>
      <c r="D10" s="888" t="s">
        <v>399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Q12" s="179"/>
      <c r="R12" s="30"/>
      <c r="S12" s="26"/>
      <c r="T12" s="179"/>
      <c r="U12" s="10"/>
    </row>
    <row r="13" spans="3:15" ht="1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v>0.32</v>
      </c>
      <c r="E14" s="5" t="s">
        <v>8</v>
      </c>
      <c r="F14" s="12" t="s">
        <v>377</v>
      </c>
      <c r="G14" s="12"/>
      <c r="H14" s="12"/>
      <c r="I14" s="12"/>
      <c r="J14" s="810" t="s">
        <v>51</v>
      </c>
      <c r="K14" s="810"/>
      <c r="L14" s="922" t="s">
        <v>396</v>
      </c>
      <c r="M14" s="922"/>
      <c r="N14" s="922"/>
      <c r="O14" s="923"/>
    </row>
    <row r="15" spans="3:15" ht="15" customHeight="1" thickBot="1">
      <c r="C15" s="87" t="s">
        <v>5</v>
      </c>
      <c r="D15" s="125">
        <v>1.5317</v>
      </c>
      <c r="E15" s="5"/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</row>
    <row r="16" spans="3:23" ht="15" customHeight="1">
      <c r="C16" s="87" t="s">
        <v>6</v>
      </c>
      <c r="D16" s="91">
        <f>D14/D15</f>
        <v>0.20891819546908663</v>
      </c>
      <c r="E16" s="8" t="s">
        <v>7</v>
      </c>
      <c r="F16" s="92">
        <f>POWER($D$16,2/3)</f>
        <v>0.3520876922908347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v>126</v>
      </c>
      <c r="L17" s="8" t="s">
        <v>14</v>
      </c>
      <c r="M17" s="5"/>
      <c r="N17" s="5"/>
      <c r="O17" s="83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778">
        <f aca="true" t="shared" si="0" ref="D18:O18">D19*$D$14</f>
        <v>0.1502240820440895</v>
      </c>
      <c r="E18" s="778">
        <f t="shared" si="0"/>
        <v>0.1679556296540448</v>
      </c>
      <c r="F18" s="778">
        <f t="shared" si="0"/>
        <v>0.2253361230661342</v>
      </c>
      <c r="G18" s="778">
        <f t="shared" si="0"/>
        <v>0.43797469792318977</v>
      </c>
      <c r="H18" s="778">
        <f t="shared" si="0"/>
        <v>0.4630217174678728</v>
      </c>
      <c r="I18" s="778">
        <f t="shared" si="0"/>
        <v>0.5203914852415169</v>
      </c>
      <c r="J18" s="778">
        <f t="shared" si="0"/>
        <v>0.5257842871543131</v>
      </c>
      <c r="K18" s="778">
        <f t="shared" si="0"/>
        <v>0.5818153679560553</v>
      </c>
      <c r="L18" s="778">
        <f t="shared" si="0"/>
        <v>0.6504893565518962</v>
      </c>
      <c r="M18" s="778">
        <f t="shared" si="0"/>
        <v>0.7511204102204475</v>
      </c>
      <c r="N18" s="778">
        <f t="shared" si="0"/>
        <v>0.9199308702150394</v>
      </c>
      <c r="O18" s="779">
        <f t="shared" si="0"/>
        <v>1.0622446711089994</v>
      </c>
      <c r="P18" s="12"/>
      <c r="Q18" s="46" t="s">
        <v>139</v>
      </c>
      <c r="R18" s="311">
        <v>0.8</v>
      </c>
      <c r="S18" s="31"/>
      <c r="T18" s="38" t="s">
        <v>29</v>
      </c>
      <c r="U18" s="311">
        <v>10.65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0.46945025638777965</v>
      </c>
      <c r="E19" s="188">
        <f t="shared" si="1"/>
        <v>0.5248613426688901</v>
      </c>
      <c r="F19" s="188">
        <f t="shared" si="1"/>
        <v>0.7041753845816694</v>
      </c>
      <c r="G19" s="188">
        <f t="shared" si="1"/>
        <v>1.368670931009968</v>
      </c>
      <c r="H19" s="188">
        <f t="shared" si="1"/>
        <v>1.4469428670871025</v>
      </c>
      <c r="I19" s="188">
        <f t="shared" si="1"/>
        <v>1.6262233913797404</v>
      </c>
      <c r="J19" s="188">
        <f t="shared" si="1"/>
        <v>1.6430758973572286</v>
      </c>
      <c r="K19" s="188">
        <f t="shared" si="1"/>
        <v>1.8181730248626726</v>
      </c>
      <c r="L19" s="188">
        <f t="shared" si="1"/>
        <v>2.0327792392246757</v>
      </c>
      <c r="M19" s="188">
        <f t="shared" si="1"/>
        <v>2.3472512819388984</v>
      </c>
      <c r="N19" s="188">
        <f t="shared" si="1"/>
        <v>2.874783969421998</v>
      </c>
      <c r="O19" s="189">
        <f t="shared" si="1"/>
        <v>3.319514597215623</v>
      </c>
      <c r="P19" s="804">
        <v>0.4</v>
      </c>
      <c r="Q19" s="46" t="s">
        <v>140</v>
      </c>
      <c r="R19" s="311">
        <v>0.7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702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0.04</v>
      </c>
      <c r="E22" s="927">
        <v>0.05</v>
      </c>
      <c r="F22" s="927">
        <v>0.09</v>
      </c>
      <c r="G22" s="927">
        <v>0.34</v>
      </c>
      <c r="H22" s="927">
        <v>0.38</v>
      </c>
      <c r="I22" s="927">
        <v>0.48</v>
      </c>
      <c r="J22" s="927">
        <v>0.49</v>
      </c>
      <c r="K22" s="927">
        <v>0.6</v>
      </c>
      <c r="L22" s="927">
        <v>0.75</v>
      </c>
      <c r="M22" s="927">
        <v>1</v>
      </c>
      <c r="N22" s="927">
        <v>1.5</v>
      </c>
      <c r="O22" s="930">
        <v>2</v>
      </c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Q23" s="49">
        <f>($D$14*$F$16)/$D$17</f>
        <v>7.5112041022044735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417.59354248160656</v>
      </c>
      <c r="E24" s="65">
        <f aca="true" t="shared" si="3" ref="E24:E33">(($Q$23/R24)/10)*SQRT($E$22)</f>
        <v>466.8837739769092</v>
      </c>
      <c r="F24" s="65">
        <f aca="true" t="shared" si="4" ref="F24:F33">(($Q$23/R24)/10)*SQRT($F$22)</f>
        <v>626.3903137224098</v>
      </c>
      <c r="G24" s="65">
        <f aca="true" t="shared" si="5" ref="G24:G33">(($Q$23/R24)/10)*SQRT($G$22)</f>
        <v>1217.4839289041427</v>
      </c>
      <c r="H24" s="65">
        <f aca="true" t="shared" si="6" ref="H24:H33">(($Q$23/R24)/10)*SQRT($H$22)</f>
        <v>1287.1097404115178</v>
      </c>
      <c r="I24" s="65">
        <f aca="true" t="shared" si="7" ref="I24:I33">(($Q$23/R24)/10)*SQRT($I$22)</f>
        <v>1446.5864649816297</v>
      </c>
      <c r="J24" s="65">
        <f aca="true" t="shared" si="8" ref="J24:J33">(($Q$23/R24)/10)*SQRT($J$22)</f>
        <v>1461.5773986856227</v>
      </c>
      <c r="K24" s="65">
        <f aca="true" t="shared" si="9" ref="K24:K33">(($Q$23/R24)/10)*SQRT($K$22)</f>
        <v>1617.3328355150215</v>
      </c>
      <c r="L24" s="65">
        <f aca="true" t="shared" si="10" ref="L24:L33">(($Q$23/R24)/10)*SQRT($L$22)</f>
        <v>1808.233081227037</v>
      </c>
      <c r="M24" s="65">
        <f aca="true" t="shared" si="11" ref="M24:M33">(($Q$23/R24)/10)*SQRT($M$22)</f>
        <v>2087.9677124080326</v>
      </c>
      <c r="N24" s="65">
        <f aca="true" t="shared" si="12" ref="N24:N33">(($Q$23/R24)/10)*SQRT($N$22)</f>
        <v>2557.227747402966</v>
      </c>
      <c r="O24" s="66">
        <f aca="true" t="shared" si="13" ref="O24:O33">(($Q$23/R24)/10)*SQRT($O$22)</f>
        <v>2952.832256684566</v>
      </c>
      <c r="Q24" s="51"/>
      <c r="R24" s="29">
        <f aca="true" t="shared" si="14" ref="R24:R33">((0.278*$K$17*POWER(10,-6)*(($R$18*$U$18)+($R$19*W24)+($R$20*$U$20))))</f>
        <v>0.00035973756000000004</v>
      </c>
      <c r="S24" s="165">
        <f aca="true" t="shared" si="15" ref="S24:S33">($Q$23/R24)/10</f>
        <v>2087.9677124080326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390.9467348483225</v>
      </c>
      <c r="E25" s="67">
        <f t="shared" si="3"/>
        <v>437.0917373512175</v>
      </c>
      <c r="F25" s="67">
        <f t="shared" si="4"/>
        <v>586.4201022724836</v>
      </c>
      <c r="G25" s="67">
        <f t="shared" si="5"/>
        <v>1139.7958021737047</v>
      </c>
      <c r="H25" s="67">
        <f t="shared" si="6"/>
        <v>1204.9787633569993</v>
      </c>
      <c r="I25" s="67">
        <f t="shared" si="7"/>
        <v>1354.2792156209055</v>
      </c>
      <c r="J25" s="67">
        <f t="shared" si="8"/>
        <v>1368.3135719691286</v>
      </c>
      <c r="K25" s="67">
        <f t="shared" si="9"/>
        <v>1514.1301933217198</v>
      </c>
      <c r="L25" s="67">
        <f t="shared" si="10"/>
        <v>1692.8490195261315</v>
      </c>
      <c r="M25" s="67">
        <f t="shared" si="11"/>
        <v>1954.7336742416123</v>
      </c>
      <c r="N25" s="67">
        <f t="shared" si="12"/>
        <v>2394.0500424638517</v>
      </c>
      <c r="O25" s="68">
        <f t="shared" si="13"/>
        <v>2764.41087293988</v>
      </c>
      <c r="Q25" s="51"/>
      <c r="R25" s="30">
        <f t="shared" si="14"/>
        <v>0.0003842571600000001</v>
      </c>
      <c r="S25" s="78">
        <f t="shared" si="15"/>
        <v>1954.7336742416123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378.85915912421365</v>
      </c>
      <c r="E26" s="67">
        <f t="shared" si="3"/>
        <v>423.5774168500756</v>
      </c>
      <c r="F26" s="67">
        <f t="shared" si="4"/>
        <v>568.2887386863204</v>
      </c>
      <c r="G26" s="67">
        <f t="shared" si="5"/>
        <v>1104.5547658874154</v>
      </c>
      <c r="H26" s="67">
        <f t="shared" si="6"/>
        <v>1167.722352829177</v>
      </c>
      <c r="I26" s="67">
        <f t="shared" si="7"/>
        <v>1312.40662503192</v>
      </c>
      <c r="J26" s="67">
        <f t="shared" si="8"/>
        <v>1326.0070569347474</v>
      </c>
      <c r="K26" s="67">
        <f t="shared" si="9"/>
        <v>1467.315213846225</v>
      </c>
      <c r="L26" s="67">
        <f t="shared" si="10"/>
        <v>1640.5082812898997</v>
      </c>
      <c r="M26" s="67">
        <f t="shared" si="11"/>
        <v>1894.295795621068</v>
      </c>
      <c r="N26" s="67">
        <f t="shared" si="12"/>
        <v>2320.0290605855525</v>
      </c>
      <c r="O26" s="68">
        <f t="shared" si="13"/>
        <v>2678.938805313647</v>
      </c>
      <c r="Q26" s="51"/>
      <c r="R26" s="30">
        <f t="shared" si="14"/>
        <v>0.00039651696000000004</v>
      </c>
      <c r="S26" s="78">
        <f t="shared" si="15"/>
        <v>1894.295795621068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367.49663078715486</v>
      </c>
      <c r="E27" s="67">
        <f t="shared" si="3"/>
        <v>410.8737239711101</v>
      </c>
      <c r="F27" s="67">
        <f t="shared" si="4"/>
        <v>551.2449461807322</v>
      </c>
      <c r="G27" s="67">
        <f t="shared" si="5"/>
        <v>1071.4275878188123</v>
      </c>
      <c r="H27" s="67">
        <f t="shared" si="6"/>
        <v>1132.7006884341286</v>
      </c>
      <c r="I27" s="67">
        <f t="shared" si="7"/>
        <v>1273.0456722674662</v>
      </c>
      <c r="J27" s="67">
        <f t="shared" si="8"/>
        <v>1286.238207755042</v>
      </c>
      <c r="K27" s="67">
        <f t="shared" si="9"/>
        <v>1423.3083308259866</v>
      </c>
      <c r="L27" s="67">
        <f t="shared" si="10"/>
        <v>1591.3070903343325</v>
      </c>
      <c r="M27" s="67">
        <f t="shared" si="11"/>
        <v>1837.4831539357742</v>
      </c>
      <c r="N27" s="67">
        <f t="shared" si="12"/>
        <v>2250.448069051281</v>
      </c>
      <c r="O27" s="68">
        <f t="shared" si="13"/>
        <v>2598.5935969280617</v>
      </c>
      <c r="Q27" s="51"/>
      <c r="R27" s="30">
        <f t="shared" si="14"/>
        <v>0.0004087767600000001</v>
      </c>
      <c r="S27" s="78">
        <f t="shared" si="15"/>
        <v>1837.4831539357742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356.79581375092334</v>
      </c>
      <c r="E28" s="67">
        <f t="shared" si="3"/>
        <v>398.90984681720937</v>
      </c>
      <c r="F28" s="67">
        <f t="shared" si="4"/>
        <v>535.193720626385</v>
      </c>
      <c r="G28" s="67">
        <f t="shared" si="5"/>
        <v>1040.2296131319088</v>
      </c>
      <c r="H28" s="67">
        <f t="shared" si="6"/>
        <v>1099.7185552434514</v>
      </c>
      <c r="I28" s="67">
        <f t="shared" si="7"/>
        <v>1235.9769546889631</v>
      </c>
      <c r="J28" s="67">
        <f t="shared" si="8"/>
        <v>1248.7853481282316</v>
      </c>
      <c r="K28" s="67">
        <f t="shared" si="9"/>
        <v>1381.8642446538495</v>
      </c>
      <c r="L28" s="67">
        <f t="shared" si="10"/>
        <v>1544.9711933612036</v>
      </c>
      <c r="M28" s="67">
        <f t="shared" si="11"/>
        <v>1783.9790687546167</v>
      </c>
      <c r="N28" s="67">
        <f t="shared" si="12"/>
        <v>2184.9192151271595</v>
      </c>
      <c r="O28" s="68">
        <f t="shared" si="13"/>
        <v>2522.9273940225034</v>
      </c>
      <c r="Q28" s="51"/>
      <c r="R28" s="30">
        <f t="shared" si="14"/>
        <v>0.00042103656000000005</v>
      </c>
      <c r="S28" s="78">
        <f t="shared" si="15"/>
        <v>1783.9790687546167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346.7005401201373</v>
      </c>
      <c r="E29" s="67">
        <f t="shared" si="3"/>
        <v>387.62298777226005</v>
      </c>
      <c r="F29" s="67">
        <f t="shared" si="4"/>
        <v>520.0508101802059</v>
      </c>
      <c r="G29" s="67">
        <f t="shared" si="5"/>
        <v>1010.7970856787019</v>
      </c>
      <c r="H29" s="67">
        <f t="shared" si="6"/>
        <v>1068.6028321767408</v>
      </c>
      <c r="I29" s="67">
        <f t="shared" si="7"/>
        <v>1201.0059009992995</v>
      </c>
      <c r="J29" s="67">
        <f t="shared" si="8"/>
        <v>1213.4518904204804</v>
      </c>
      <c r="K29" s="67">
        <f t="shared" si="9"/>
        <v>1342.7654180064083</v>
      </c>
      <c r="L29" s="67">
        <f t="shared" si="10"/>
        <v>1501.2573762491243</v>
      </c>
      <c r="M29" s="67">
        <f t="shared" si="11"/>
        <v>1733.5027006006865</v>
      </c>
      <c r="N29" s="67">
        <f t="shared" si="12"/>
        <v>2123.09854210416</v>
      </c>
      <c r="O29" s="68">
        <f t="shared" si="13"/>
        <v>2451.5430295998776</v>
      </c>
      <c r="Q29" s="51"/>
      <c r="R29" s="30">
        <f t="shared" si="14"/>
        <v>0.0004332963600000001</v>
      </c>
      <c r="S29" s="78">
        <f t="shared" si="15"/>
        <v>1733.5027006006865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328.13203376328227</v>
      </c>
      <c r="E30" s="67">
        <f t="shared" si="3"/>
        <v>366.8627665449776</v>
      </c>
      <c r="F30" s="67">
        <f t="shared" si="4"/>
        <v>492.19805064492334</v>
      </c>
      <c r="G30" s="67">
        <f t="shared" si="5"/>
        <v>956.6610520157265</v>
      </c>
      <c r="H30" s="67">
        <f t="shared" si="6"/>
        <v>1011.370851876533</v>
      </c>
      <c r="I30" s="67">
        <f t="shared" si="7"/>
        <v>1136.6827081378221</v>
      </c>
      <c r="J30" s="67">
        <f t="shared" si="8"/>
        <v>1148.4621181714879</v>
      </c>
      <c r="K30" s="67">
        <f t="shared" si="9"/>
        <v>1270.849902122362</v>
      </c>
      <c r="L30" s="67">
        <f t="shared" si="10"/>
        <v>1420.8533851722777</v>
      </c>
      <c r="M30" s="67">
        <f t="shared" si="11"/>
        <v>1640.6601688164112</v>
      </c>
      <c r="N30" s="67">
        <f t="shared" si="12"/>
        <v>2009.3901274543582</v>
      </c>
      <c r="O30" s="68">
        <f t="shared" si="13"/>
        <v>2320.2438619855006</v>
      </c>
      <c r="Q30" s="51"/>
      <c r="R30" s="30">
        <f t="shared" si="14"/>
        <v>0.00045781596000000005</v>
      </c>
      <c r="S30" s="78">
        <f t="shared" si="15"/>
        <v>1640.6601688164112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802">
        <v>6</v>
      </c>
      <c r="D31" s="72">
        <f t="shared" si="2"/>
        <v>311.4513929764778</v>
      </c>
      <c r="E31" s="67">
        <f t="shared" si="3"/>
        <v>348.21324319120237</v>
      </c>
      <c r="F31" s="67">
        <f t="shared" si="4"/>
        <v>467.1770894647166</v>
      </c>
      <c r="G31" s="67">
        <f t="shared" si="5"/>
        <v>908.0290450142007</v>
      </c>
      <c r="H31" s="67">
        <f t="shared" si="6"/>
        <v>959.9576640541965</v>
      </c>
      <c r="I31" s="67">
        <f t="shared" si="7"/>
        <v>1078.8992734467201</v>
      </c>
      <c r="J31" s="67">
        <f t="shared" si="8"/>
        <v>1090.079875417672</v>
      </c>
      <c r="K31" s="67">
        <f t="shared" si="9"/>
        <v>1206.246058151</v>
      </c>
      <c r="L31" s="67">
        <f t="shared" si="10"/>
        <v>1348.6240918084</v>
      </c>
      <c r="M31" s="67">
        <f t="shared" si="11"/>
        <v>1557.2569648823887</v>
      </c>
      <c r="N31" s="67">
        <f t="shared" si="12"/>
        <v>1907.2424811785372</v>
      </c>
      <c r="O31" s="68">
        <f t="shared" si="13"/>
        <v>2202.293919836637</v>
      </c>
      <c r="Q31" s="51"/>
      <c r="R31" s="30">
        <f t="shared" si="14"/>
        <v>0.00048233556000000006</v>
      </c>
      <c r="S31" s="78">
        <f t="shared" si="15"/>
        <v>1557.2569648823887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296.38463588708345</v>
      </c>
      <c r="E32" s="67">
        <f t="shared" si="3"/>
        <v>331.3680966650211</v>
      </c>
      <c r="F32" s="67">
        <f t="shared" si="4"/>
        <v>444.5769538306251</v>
      </c>
      <c r="G32" s="67">
        <f t="shared" si="5"/>
        <v>864.1022771144118</v>
      </c>
      <c r="H32" s="67">
        <f t="shared" si="6"/>
        <v>913.5187998635992</v>
      </c>
      <c r="I32" s="67">
        <f t="shared" si="7"/>
        <v>1026.706495878461</v>
      </c>
      <c r="J32" s="67">
        <f t="shared" si="8"/>
        <v>1037.346225604792</v>
      </c>
      <c r="K32" s="67">
        <f t="shared" si="9"/>
        <v>1147.8927588624233</v>
      </c>
      <c r="L32" s="67">
        <f t="shared" si="10"/>
        <v>1283.3831198480761</v>
      </c>
      <c r="M32" s="67">
        <f t="shared" si="11"/>
        <v>1481.923179435417</v>
      </c>
      <c r="N32" s="67">
        <f t="shared" si="12"/>
        <v>1814.9778138098445</v>
      </c>
      <c r="O32" s="68">
        <f t="shared" si="13"/>
        <v>2095.7558587526246</v>
      </c>
      <c r="Q32" s="51"/>
      <c r="R32" s="30">
        <f t="shared" si="14"/>
        <v>0.0005068551600000002</v>
      </c>
      <c r="S32" s="78">
        <f t="shared" si="15"/>
        <v>1481.923179435417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282.7083507769346</v>
      </c>
      <c r="E33" s="69">
        <f t="shared" si="3"/>
        <v>316.0775450720406</v>
      </c>
      <c r="F33" s="69">
        <f t="shared" si="4"/>
        <v>424.0625261654019</v>
      </c>
      <c r="G33" s="69">
        <f t="shared" si="5"/>
        <v>824.2293968256784</v>
      </c>
      <c r="H33" s="69">
        <f t="shared" si="6"/>
        <v>871.3656581428005</v>
      </c>
      <c r="I33" s="69">
        <f t="shared" si="7"/>
        <v>979.33045453931</v>
      </c>
      <c r="J33" s="69">
        <f t="shared" si="8"/>
        <v>989.479227719271</v>
      </c>
      <c r="K33" s="69">
        <f t="shared" si="9"/>
        <v>1094.9247343928323</v>
      </c>
      <c r="L33" s="69">
        <f t="shared" si="10"/>
        <v>1224.1630681741374</v>
      </c>
      <c r="M33" s="69">
        <f t="shared" si="11"/>
        <v>1413.541753884673</v>
      </c>
      <c r="N33" s="69">
        <f t="shared" si="12"/>
        <v>1731.2280135681249</v>
      </c>
      <c r="O33" s="70">
        <f t="shared" si="13"/>
        <v>1999.0499193243563</v>
      </c>
      <c r="Q33" s="53"/>
      <c r="R33" s="54">
        <f t="shared" si="14"/>
        <v>0.0005313747600000001</v>
      </c>
      <c r="S33" s="106">
        <f t="shared" si="15"/>
        <v>1413.541753884673</v>
      </c>
      <c r="T33" s="56"/>
      <c r="U33" s="57"/>
      <c r="V33" s="325">
        <f t="shared" si="16"/>
        <v>8</v>
      </c>
      <c r="W33" s="326">
        <f t="shared" si="17"/>
        <v>8</v>
      </c>
    </row>
    <row r="34" spans="2:15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3:15" ht="18" customHeight="1">
      <c r="C35" s="82"/>
      <c r="D35" s="6" t="s">
        <v>31</v>
      </c>
      <c r="E35" s="920">
        <f>Q40</f>
        <v>21443.428406430492</v>
      </c>
      <c r="F35" s="920"/>
      <c r="G35" s="3" t="s">
        <v>33</v>
      </c>
      <c r="H35" s="183" t="s">
        <v>280</v>
      </c>
      <c r="I35" s="606">
        <f>R18</f>
        <v>0.8</v>
      </c>
      <c r="J35" s="3" t="s">
        <v>281</v>
      </c>
      <c r="K35" s="606">
        <f>R19</f>
        <v>0.7</v>
      </c>
      <c r="L35" s="3" t="s">
        <v>282</v>
      </c>
      <c r="M35" s="606">
        <f>R20</f>
        <v>0.35</v>
      </c>
      <c r="N35" s="3" t="s">
        <v>283</v>
      </c>
      <c r="O35" s="83" t="s">
        <v>284</v>
      </c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7">
        <f>Q23</f>
        <v>7.5112041022044735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10.65</v>
      </c>
      <c r="M40" s="5"/>
      <c r="N40" s="5"/>
      <c r="O40" s="83"/>
      <c r="Q40" s="102">
        <f>(Q38/Q39)/10</f>
        <v>21443.428406430492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Q42" s="100"/>
      <c r="T42" s="1"/>
      <c r="U42" s="1"/>
    </row>
    <row r="43" spans="3:21" ht="12" customHeight="1">
      <c r="C43" s="82"/>
      <c r="M43" s="5"/>
      <c r="N43" s="5"/>
      <c r="O43" s="83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25">
    <mergeCell ref="E35:F35"/>
    <mergeCell ref="J22:J23"/>
    <mergeCell ref="K22:K23"/>
    <mergeCell ref="L22:L23"/>
    <mergeCell ref="M22:M23"/>
    <mergeCell ref="N22:N23"/>
    <mergeCell ref="O22:O23"/>
    <mergeCell ref="D22:D23"/>
    <mergeCell ref="E22:E23"/>
    <mergeCell ref="F22:F23"/>
    <mergeCell ref="G22:G23"/>
    <mergeCell ref="H22:H23"/>
    <mergeCell ref="I22:I23"/>
    <mergeCell ref="D8:M8"/>
    <mergeCell ref="D10:M10"/>
    <mergeCell ref="D12:M12"/>
    <mergeCell ref="J14:K14"/>
    <mergeCell ref="L14:O14"/>
    <mergeCell ref="D20:O21"/>
    <mergeCell ref="C2:F5"/>
    <mergeCell ref="G2:O2"/>
    <mergeCell ref="G3:O3"/>
    <mergeCell ref="G4:O4"/>
    <mergeCell ref="G5:O5"/>
    <mergeCell ref="D7:M7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4"/>
  <rowBreaks count="1" manualBreakCount="1">
    <brk id="44" max="255" man="1"/>
  </rowBreaks>
  <drawing r:id="rId3"/>
  <legacyDrawing r:id="rId2"/>
  <oleObjects>
    <oleObject progId="Equation.3" shapeId="4722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W45"/>
  <sheetViews>
    <sheetView showGridLines="0" zoomScalePageLayoutView="0" workbookViewId="0" topLeftCell="A1">
      <selection activeCell="P1" sqref="B1:P45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380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R2" s="129"/>
      <c r="S2" s="129"/>
    </row>
    <row r="3" spans="3:15" ht="19.5" customHeight="1">
      <c r="C3" s="881"/>
      <c r="D3" s="882"/>
      <c r="E3" s="882"/>
      <c r="F3" s="883"/>
      <c r="G3" s="864" t="s">
        <v>366</v>
      </c>
      <c r="H3" s="865"/>
      <c r="I3" s="865"/>
      <c r="J3" s="865"/>
      <c r="K3" s="865"/>
      <c r="L3" s="865"/>
      <c r="M3" s="865"/>
      <c r="N3" s="865"/>
      <c r="O3" s="866"/>
    </row>
    <row r="4" spans="3:21" ht="19.5" customHeight="1">
      <c r="C4" s="881"/>
      <c r="D4" s="882"/>
      <c r="E4" s="882"/>
      <c r="F4" s="883"/>
      <c r="G4" s="864" t="s">
        <v>367</v>
      </c>
      <c r="H4" s="865"/>
      <c r="I4" s="865"/>
      <c r="J4" s="865"/>
      <c r="K4" s="865"/>
      <c r="L4" s="865"/>
      <c r="M4" s="865"/>
      <c r="N4" s="865"/>
      <c r="O4" s="866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>
        <f>'[8]BASE '!G5</f>
        <v>0</v>
      </c>
      <c r="H5" s="925"/>
      <c r="I5" s="925"/>
      <c r="J5" s="925"/>
      <c r="K5" s="925"/>
      <c r="L5" s="925"/>
      <c r="M5" s="925"/>
      <c r="N5" s="925"/>
      <c r="O5" s="926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376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803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803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Q9" s="300"/>
      <c r="R9" s="301"/>
      <c r="S9" s="178"/>
      <c r="T9" s="300"/>
      <c r="U9" s="303"/>
    </row>
    <row r="10" spans="3:21" ht="12.75">
      <c r="C10" s="82"/>
      <c r="D10" s="888" t="s">
        <v>400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Q12" s="179"/>
      <c r="R12" s="30"/>
      <c r="S12" s="26"/>
      <c r="T12" s="179"/>
      <c r="U12" s="10"/>
    </row>
    <row r="13" spans="3:15" ht="1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v>0.087</v>
      </c>
      <c r="E14" s="5" t="s">
        <v>8</v>
      </c>
      <c r="F14" s="12" t="s">
        <v>377</v>
      </c>
      <c r="G14" s="12"/>
      <c r="H14" s="12"/>
      <c r="I14" s="12"/>
      <c r="J14" s="810" t="s">
        <v>51</v>
      </c>
      <c r="K14" s="810"/>
      <c r="L14" s="922" t="s">
        <v>396</v>
      </c>
      <c r="M14" s="922"/>
      <c r="N14" s="922"/>
      <c r="O14" s="923"/>
    </row>
    <row r="15" spans="3:15" ht="15" customHeight="1" thickBot="1">
      <c r="C15" s="87" t="s">
        <v>5</v>
      </c>
      <c r="D15" s="125">
        <v>0.893</v>
      </c>
      <c r="E15" s="5"/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</row>
    <row r="16" spans="3:23" ht="15" customHeight="1">
      <c r="C16" s="87" t="s">
        <v>6</v>
      </c>
      <c r="D16" s="91">
        <f>D14/D15</f>
        <v>0.09742441209406494</v>
      </c>
      <c r="E16" s="8" t="s">
        <v>7</v>
      </c>
      <c r="F16" s="92">
        <f>POWER($D$16,2/3)</f>
        <v>0.21172811407981815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v>126</v>
      </c>
      <c r="L17" s="8" t="s">
        <v>14</v>
      </c>
      <c r="M17" s="5"/>
      <c r="N17" s="5"/>
      <c r="O17" s="83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778">
        <f aca="true" t="shared" si="0" ref="D18:O18">D19*$D$14</f>
        <v>0.0245604612332589</v>
      </c>
      <c r="E18" s="778">
        <f t="shared" si="0"/>
        <v>0.027459430438157614</v>
      </c>
      <c r="F18" s="778">
        <f t="shared" si="0"/>
        <v>0.036840691849888356</v>
      </c>
      <c r="G18" s="778">
        <f t="shared" si="0"/>
        <v>0.07160543398317278</v>
      </c>
      <c r="H18" s="778">
        <f t="shared" si="0"/>
        <v>0.07570042557283894</v>
      </c>
      <c r="I18" s="778">
        <f t="shared" si="0"/>
        <v>0.08507993342666037</v>
      </c>
      <c r="J18" s="778">
        <f t="shared" si="0"/>
        <v>0.08596161431640616</v>
      </c>
      <c r="K18" s="778">
        <f t="shared" si="0"/>
        <v>0.09512225733158461</v>
      </c>
      <c r="L18" s="778">
        <f t="shared" si="0"/>
        <v>0.10634991678332548</v>
      </c>
      <c r="M18" s="778">
        <f t="shared" si="0"/>
        <v>0.12280230616629453</v>
      </c>
      <c r="N18" s="778">
        <f t="shared" si="0"/>
        <v>0.1504014946722289</v>
      </c>
      <c r="O18" s="779">
        <f t="shared" si="0"/>
        <v>0.17366868687106687</v>
      </c>
      <c r="P18" s="12"/>
      <c r="Q18" s="46" t="s">
        <v>139</v>
      </c>
      <c r="R18" s="311">
        <v>0.8</v>
      </c>
      <c r="S18" s="31"/>
      <c r="T18" s="38" t="s">
        <v>29</v>
      </c>
      <c r="U18" s="311">
        <v>6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0.2823041521064242</v>
      </c>
      <c r="E19" s="188">
        <f t="shared" si="1"/>
        <v>0.3156256372202025</v>
      </c>
      <c r="F19" s="188">
        <f t="shared" si="1"/>
        <v>0.4234562281596363</v>
      </c>
      <c r="G19" s="188">
        <f t="shared" si="1"/>
        <v>0.823050965323825</v>
      </c>
      <c r="H19" s="188">
        <f t="shared" si="1"/>
        <v>0.8701198341705626</v>
      </c>
      <c r="I19" s="188">
        <f t="shared" si="1"/>
        <v>0.9779302692719584</v>
      </c>
      <c r="J19" s="188">
        <f t="shared" si="1"/>
        <v>0.9880645323724846</v>
      </c>
      <c r="K19" s="188">
        <f t="shared" si="1"/>
        <v>1.0933592796733864</v>
      </c>
      <c r="L19" s="188">
        <f t="shared" si="1"/>
        <v>1.222412836589948</v>
      </c>
      <c r="M19" s="188">
        <f t="shared" si="1"/>
        <v>1.4115207605321212</v>
      </c>
      <c r="N19" s="188">
        <f t="shared" si="1"/>
        <v>1.7287528123244704</v>
      </c>
      <c r="O19" s="189">
        <f t="shared" si="1"/>
        <v>1.9961918031157113</v>
      </c>
      <c r="P19" s="804">
        <v>0.4</v>
      </c>
      <c r="Q19" s="46" t="s">
        <v>140</v>
      </c>
      <c r="R19" s="311">
        <v>0.7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702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0.04</v>
      </c>
      <c r="E22" s="927">
        <v>0.05</v>
      </c>
      <c r="F22" s="927">
        <v>0.09</v>
      </c>
      <c r="G22" s="927">
        <v>0.34</v>
      </c>
      <c r="H22" s="927">
        <v>0.38</v>
      </c>
      <c r="I22" s="927">
        <v>0.48</v>
      </c>
      <c r="J22" s="927">
        <v>0.49</v>
      </c>
      <c r="K22" s="927">
        <v>0.6</v>
      </c>
      <c r="L22" s="927">
        <v>0.75</v>
      </c>
      <c r="M22" s="927">
        <v>1</v>
      </c>
      <c r="N22" s="927">
        <v>1.5</v>
      </c>
      <c r="O22" s="930">
        <v>2</v>
      </c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Q23" s="49">
        <f>($D$14*$F$16)/$D$17</f>
        <v>1.2280230616629453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107.04832527983677</v>
      </c>
      <c r="E24" s="65">
        <f aca="true" t="shared" si="3" ref="E24:E33">(($Q$23/R24)/10)*SQRT($E$22)</f>
        <v>119.68366610161209</v>
      </c>
      <c r="F24" s="65">
        <f aca="true" t="shared" si="4" ref="F24:F33">(($Q$23/R24)/10)*SQRT($F$22)</f>
        <v>160.57248791975513</v>
      </c>
      <c r="G24" s="65">
        <f aca="true" t="shared" si="5" ref="G24:G33">(($Q$23/R24)/10)*SQRT($G$22)</f>
        <v>312.09681756524014</v>
      </c>
      <c r="H24" s="65">
        <f aca="true" t="shared" si="6" ref="H24:H33">(($Q$23/R24)/10)*SQRT($H$22)</f>
        <v>329.9450976747018</v>
      </c>
      <c r="I24" s="65">
        <f aca="true" t="shared" si="7" ref="I24:I33">(($Q$23/R24)/10)*SQRT($I$22)</f>
        <v>370.82627649967424</v>
      </c>
      <c r="J24" s="65">
        <f aca="true" t="shared" si="8" ref="J24:J33">(($Q$23/R24)/10)*SQRT($J$22)</f>
        <v>374.6691384794286</v>
      </c>
      <c r="K24" s="65">
        <f aca="true" t="shared" si="9" ref="K24:K33">(($Q$23/R24)/10)*SQRT($K$22)</f>
        <v>414.5963810482022</v>
      </c>
      <c r="L24" s="65">
        <f aca="true" t="shared" si="10" ref="L24:L33">(($Q$23/R24)/10)*SQRT($L$22)</f>
        <v>463.53284562459277</v>
      </c>
      <c r="M24" s="65">
        <f aca="true" t="shared" si="11" ref="M24:M33">(($Q$23/R24)/10)*SQRT($M$22)</f>
        <v>535.2416263991838</v>
      </c>
      <c r="N24" s="65">
        <f aca="true" t="shared" si="12" ref="N24:N33">(($Q$23/R24)/10)*SQRT($N$22)</f>
        <v>655.5344368876932</v>
      </c>
      <c r="O24" s="66">
        <f aca="true" t="shared" si="13" ref="O24:O33">(($Q$23/R24)/10)*SQRT($O$22)</f>
        <v>756.9459672003591</v>
      </c>
      <c r="Q24" s="51"/>
      <c r="R24" s="29">
        <f aca="true" t="shared" si="14" ref="R24:R33">((0.278*$K$17*POWER(10,-6)*(($R$18*$U$18)+($R$19*W24)+($R$20*$U$20))))</f>
        <v>0.00022943340000000005</v>
      </c>
      <c r="S24" s="165">
        <f aca="true" t="shared" si="15" ref="S24:S33">($Q$23/R24)/10</f>
        <v>535.2416263991838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96.71262490799046</v>
      </c>
      <c r="E25" s="67">
        <f t="shared" si="3"/>
        <v>108.12800178835299</v>
      </c>
      <c r="F25" s="67">
        <f t="shared" si="4"/>
        <v>145.06893736198566</v>
      </c>
      <c r="G25" s="67">
        <f t="shared" si="5"/>
        <v>281.96333173135486</v>
      </c>
      <c r="H25" s="67">
        <f t="shared" si="6"/>
        <v>298.0883296233513</v>
      </c>
      <c r="I25" s="67">
        <f t="shared" si="7"/>
        <v>335.02236014798154</v>
      </c>
      <c r="J25" s="67">
        <f t="shared" si="8"/>
        <v>338.4941871779665</v>
      </c>
      <c r="K25" s="67">
        <f t="shared" si="9"/>
        <v>374.56638563665166</v>
      </c>
      <c r="L25" s="67">
        <f t="shared" si="10"/>
        <v>418.77795018497693</v>
      </c>
      <c r="M25" s="67">
        <f t="shared" si="11"/>
        <v>483.56312453995224</v>
      </c>
      <c r="N25" s="67">
        <f t="shared" si="12"/>
        <v>592.2414567743987</v>
      </c>
      <c r="O25" s="68">
        <f t="shared" si="13"/>
        <v>683.8615289879106</v>
      </c>
      <c r="Q25" s="51"/>
      <c r="R25" s="30">
        <f t="shared" si="14"/>
        <v>0.00025395300000000007</v>
      </c>
      <c r="S25" s="78">
        <f t="shared" si="15"/>
        <v>483.56312453995224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92.25875402406984</v>
      </c>
      <c r="E26" s="67">
        <f t="shared" si="3"/>
        <v>103.14842275862623</v>
      </c>
      <c r="F26" s="67">
        <f t="shared" si="4"/>
        <v>138.38813103610477</v>
      </c>
      <c r="G26" s="67">
        <f t="shared" si="5"/>
        <v>268.9781782963583</v>
      </c>
      <c r="H26" s="67">
        <f t="shared" si="6"/>
        <v>284.36057760122327</v>
      </c>
      <c r="I26" s="67">
        <f t="shared" si="7"/>
        <v>319.59369882537715</v>
      </c>
      <c r="J26" s="67">
        <f t="shared" si="8"/>
        <v>322.90563908424446</v>
      </c>
      <c r="K26" s="67">
        <f t="shared" si="9"/>
        <v>357.316617877069</v>
      </c>
      <c r="L26" s="67">
        <f t="shared" si="10"/>
        <v>399.4921235317214</v>
      </c>
      <c r="M26" s="67">
        <f t="shared" si="11"/>
        <v>461.2937701203492</v>
      </c>
      <c r="N26" s="67">
        <f t="shared" si="12"/>
        <v>564.9671791597883</v>
      </c>
      <c r="O26" s="68">
        <f t="shared" si="13"/>
        <v>652.3679059424147</v>
      </c>
      <c r="Q26" s="51"/>
      <c r="R26" s="30">
        <f t="shared" si="14"/>
        <v>0.00026621280000000005</v>
      </c>
      <c r="S26" s="78">
        <f t="shared" si="15"/>
        <v>461.2937701203492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88.19704787206678</v>
      </c>
      <c r="E27" s="67">
        <f t="shared" si="3"/>
        <v>98.60729722837225</v>
      </c>
      <c r="F27" s="67">
        <f t="shared" si="4"/>
        <v>132.29557180810016</v>
      </c>
      <c r="G27" s="67">
        <f t="shared" si="5"/>
        <v>257.13637170469474</v>
      </c>
      <c r="H27" s="67">
        <f t="shared" si="6"/>
        <v>271.8415584615468</v>
      </c>
      <c r="I27" s="67">
        <f t="shared" si="7"/>
        <v>305.5235359840084</v>
      </c>
      <c r="J27" s="67">
        <f t="shared" si="8"/>
        <v>308.6896675522337</v>
      </c>
      <c r="K27" s="67">
        <f t="shared" si="9"/>
        <v>341.58569759317294</v>
      </c>
      <c r="L27" s="67">
        <f t="shared" si="10"/>
        <v>381.90441998001046</v>
      </c>
      <c r="M27" s="67">
        <f t="shared" si="11"/>
        <v>440.9852393603339</v>
      </c>
      <c r="N27" s="67">
        <f t="shared" si="12"/>
        <v>540.0944102659612</v>
      </c>
      <c r="O27" s="68">
        <f t="shared" si="13"/>
        <v>623.6473063097299</v>
      </c>
      <c r="Q27" s="51"/>
      <c r="R27" s="30">
        <f t="shared" si="14"/>
        <v>0.00027847260000000003</v>
      </c>
      <c r="S27" s="78">
        <f t="shared" si="15"/>
        <v>440.9852393603339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84.47789525095553</v>
      </c>
      <c r="E28" s="67">
        <f t="shared" si="3"/>
        <v>94.4491581886216</v>
      </c>
      <c r="F28" s="67">
        <f t="shared" si="4"/>
        <v>126.71684287643328</v>
      </c>
      <c r="G28" s="67">
        <f t="shared" si="5"/>
        <v>246.29327169305097</v>
      </c>
      <c r="H28" s="67">
        <f t="shared" si="6"/>
        <v>260.3783602131683</v>
      </c>
      <c r="I28" s="67">
        <f t="shared" si="7"/>
        <v>292.6400133822731</v>
      </c>
      <c r="J28" s="67">
        <f t="shared" si="8"/>
        <v>295.6726333783443</v>
      </c>
      <c r="K28" s="67">
        <f t="shared" si="9"/>
        <v>327.18148142960536</v>
      </c>
      <c r="L28" s="67">
        <f t="shared" si="10"/>
        <v>365.8000167278413</v>
      </c>
      <c r="M28" s="67">
        <f t="shared" si="11"/>
        <v>422.3894762547776</v>
      </c>
      <c r="N28" s="67">
        <f t="shared" si="12"/>
        <v>517.3193447728182</v>
      </c>
      <c r="O28" s="68">
        <f t="shared" si="13"/>
        <v>597.3489259231749</v>
      </c>
      <c r="Q28" s="51"/>
      <c r="R28" s="30">
        <f t="shared" si="14"/>
        <v>0.00029073240000000006</v>
      </c>
      <c r="S28" s="78">
        <f t="shared" si="15"/>
        <v>422.3894762547776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81.05971451825792</v>
      </c>
      <c r="E29" s="67">
        <f t="shared" si="3"/>
        <v>90.62751594977564</v>
      </c>
      <c r="F29" s="67">
        <f t="shared" si="4"/>
        <v>121.58957177738685</v>
      </c>
      <c r="G29" s="67">
        <f t="shared" si="5"/>
        <v>236.32764798292754</v>
      </c>
      <c r="H29" s="67">
        <f t="shared" si="6"/>
        <v>249.84281962650834</v>
      </c>
      <c r="I29" s="67">
        <f t="shared" si="7"/>
        <v>280.7990879853025</v>
      </c>
      <c r="J29" s="67">
        <f t="shared" si="8"/>
        <v>283.70900081390266</v>
      </c>
      <c r="K29" s="67">
        <f t="shared" si="9"/>
        <v>313.94292437754046</v>
      </c>
      <c r="L29" s="67">
        <f t="shared" si="10"/>
        <v>350.99885998162813</v>
      </c>
      <c r="M29" s="67">
        <f t="shared" si="11"/>
        <v>405.29857259128954</v>
      </c>
      <c r="N29" s="67">
        <f t="shared" si="12"/>
        <v>496.3873481635135</v>
      </c>
      <c r="O29" s="68">
        <f t="shared" si="13"/>
        <v>573.1787381690581</v>
      </c>
      <c r="Q29" s="51"/>
      <c r="R29" s="30">
        <f t="shared" si="14"/>
        <v>0.00030299220000000004</v>
      </c>
      <c r="S29" s="78">
        <f t="shared" si="15"/>
        <v>405.29857259128954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74.99107278961826</v>
      </c>
      <c r="E30" s="67">
        <f t="shared" si="3"/>
        <v>83.8425682316106</v>
      </c>
      <c r="F30" s="67">
        <f t="shared" si="4"/>
        <v>112.4866091844274</v>
      </c>
      <c r="G30" s="67">
        <f t="shared" si="5"/>
        <v>218.63466898955323</v>
      </c>
      <c r="H30" s="67">
        <f t="shared" si="6"/>
        <v>231.1380096009943</v>
      </c>
      <c r="I30" s="67">
        <f t="shared" si="7"/>
        <v>259.7766963714295</v>
      </c>
      <c r="J30" s="67">
        <f t="shared" si="8"/>
        <v>262.4687547636639</v>
      </c>
      <c r="K30" s="67">
        <f t="shared" si="9"/>
        <v>290.4391760284197</v>
      </c>
      <c r="L30" s="67">
        <f t="shared" si="10"/>
        <v>324.7208704642869</v>
      </c>
      <c r="M30" s="67">
        <f t="shared" si="11"/>
        <v>374.9553639480913</v>
      </c>
      <c r="N30" s="67">
        <f t="shared" si="12"/>
        <v>459.2246589961915</v>
      </c>
      <c r="O30" s="68">
        <f t="shared" si="13"/>
        <v>530.2669609799306</v>
      </c>
      <c r="Q30" s="51"/>
      <c r="R30" s="30">
        <f t="shared" si="14"/>
        <v>0.0003275118000000001</v>
      </c>
      <c r="S30" s="78">
        <f t="shared" si="15"/>
        <v>374.9553639480913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802">
        <v>6</v>
      </c>
      <c r="D31" s="72">
        <f t="shared" si="2"/>
        <v>69.76781398835134</v>
      </c>
      <c r="E31" s="67">
        <f t="shared" si="3"/>
        <v>78.00278735975714</v>
      </c>
      <c r="F31" s="67">
        <f t="shared" si="4"/>
        <v>104.65172098252698</v>
      </c>
      <c r="G31" s="67">
        <f t="shared" si="5"/>
        <v>203.40638358729584</v>
      </c>
      <c r="H31" s="67">
        <f t="shared" si="6"/>
        <v>215.0388447531639</v>
      </c>
      <c r="I31" s="67">
        <f t="shared" si="7"/>
        <v>241.68279712167825</v>
      </c>
      <c r="J31" s="67">
        <f t="shared" si="8"/>
        <v>244.18734895922964</v>
      </c>
      <c r="K31" s="67">
        <f t="shared" si="9"/>
        <v>270.20958167818156</v>
      </c>
      <c r="L31" s="67">
        <f t="shared" si="10"/>
        <v>302.1034964020978</v>
      </c>
      <c r="M31" s="67">
        <f t="shared" si="11"/>
        <v>348.83906994175663</v>
      </c>
      <c r="N31" s="67">
        <f t="shared" si="12"/>
        <v>427.2388618521782</v>
      </c>
      <c r="O31" s="68">
        <f t="shared" si="13"/>
        <v>493.33294379724896</v>
      </c>
      <c r="Q31" s="51"/>
      <c r="R31" s="30">
        <f t="shared" si="14"/>
        <v>0.0003520314000000001</v>
      </c>
      <c r="S31" s="78">
        <f t="shared" si="15"/>
        <v>348.83906994175663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65.22479354259823</v>
      </c>
      <c r="E32" s="67">
        <f t="shared" si="3"/>
        <v>72.92353608981948</v>
      </c>
      <c r="F32" s="67">
        <f t="shared" si="4"/>
        <v>97.83719031389734</v>
      </c>
      <c r="G32" s="67">
        <f t="shared" si="5"/>
        <v>190.16131674905336</v>
      </c>
      <c r="H32" s="67">
        <f t="shared" si="6"/>
        <v>201.03631532737649</v>
      </c>
      <c r="I32" s="67">
        <f t="shared" si="7"/>
        <v>225.94531265794112</v>
      </c>
      <c r="J32" s="67">
        <f t="shared" si="8"/>
        <v>228.28677739909378</v>
      </c>
      <c r="K32" s="67">
        <f t="shared" si="9"/>
        <v>252.6145391503</v>
      </c>
      <c r="L32" s="67">
        <f t="shared" si="10"/>
        <v>282.43164082242635</v>
      </c>
      <c r="M32" s="67">
        <f t="shared" si="11"/>
        <v>326.12396771299115</v>
      </c>
      <c r="N32" s="67">
        <f t="shared" si="12"/>
        <v>399.4186568943621</v>
      </c>
      <c r="O32" s="68">
        <f t="shared" si="13"/>
        <v>461.20893815463745</v>
      </c>
      <c r="Q32" s="51"/>
      <c r="R32" s="30">
        <f t="shared" si="14"/>
        <v>0.00037655100000000003</v>
      </c>
      <c r="S32" s="78">
        <f t="shared" si="15"/>
        <v>326.12396771299115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61.237251579295275</v>
      </c>
      <c r="E33" s="69">
        <f t="shared" si="3"/>
        <v>68.46532864328029</v>
      </c>
      <c r="F33" s="69">
        <f t="shared" si="4"/>
        <v>91.85587736894291</v>
      </c>
      <c r="G33" s="69">
        <f t="shared" si="5"/>
        <v>178.5357340657051</v>
      </c>
      <c r="H33" s="69">
        <f t="shared" si="6"/>
        <v>188.74588556937093</v>
      </c>
      <c r="I33" s="69">
        <f t="shared" si="7"/>
        <v>212.13206210243376</v>
      </c>
      <c r="J33" s="69">
        <f t="shared" si="8"/>
        <v>214.33038052753346</v>
      </c>
      <c r="K33" s="69">
        <f t="shared" si="9"/>
        <v>237.17085553412446</v>
      </c>
      <c r="L33" s="69">
        <f t="shared" si="10"/>
        <v>265.1650776280422</v>
      </c>
      <c r="M33" s="69">
        <f t="shared" si="11"/>
        <v>306.1862578964764</v>
      </c>
      <c r="N33" s="69">
        <f t="shared" si="12"/>
        <v>375.0000490492918</v>
      </c>
      <c r="O33" s="70">
        <f t="shared" si="13"/>
        <v>433.0127585294631</v>
      </c>
      <c r="Q33" s="53"/>
      <c r="R33" s="54">
        <f t="shared" si="14"/>
        <v>0.00040107060000000005</v>
      </c>
      <c r="S33" s="106">
        <f t="shared" si="15"/>
        <v>306.1862578964764</v>
      </c>
      <c r="T33" s="56"/>
      <c r="U33" s="57"/>
      <c r="V33" s="325">
        <f t="shared" si="16"/>
        <v>8</v>
      </c>
      <c r="W33" s="326">
        <f t="shared" si="17"/>
        <v>8</v>
      </c>
    </row>
    <row r="34" spans="2:15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3:15" ht="18" customHeight="1">
      <c r="C35" s="82"/>
      <c r="D35" s="6" t="s">
        <v>31</v>
      </c>
      <c r="E35" s="920">
        <f>Q40</f>
        <v>3505.8326529146543</v>
      </c>
      <c r="F35" s="920"/>
      <c r="G35" s="3" t="s">
        <v>33</v>
      </c>
      <c r="H35" s="183" t="s">
        <v>280</v>
      </c>
      <c r="I35" s="606">
        <f>R18</f>
        <v>0.8</v>
      </c>
      <c r="J35" s="3" t="s">
        <v>281</v>
      </c>
      <c r="K35" s="606">
        <f>R19</f>
        <v>0.7</v>
      </c>
      <c r="L35" s="3" t="s">
        <v>282</v>
      </c>
      <c r="M35" s="606">
        <f>R20</f>
        <v>0.35</v>
      </c>
      <c r="N35" s="3" t="s">
        <v>283</v>
      </c>
      <c r="O35" s="83" t="s">
        <v>284</v>
      </c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7">
        <f>Q23</f>
        <v>1.2280230616629453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6</v>
      </c>
      <c r="M40" s="5"/>
      <c r="N40" s="5"/>
      <c r="O40" s="83"/>
      <c r="Q40" s="102">
        <f>(Q38/Q39)/10</f>
        <v>3505.8326529146543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Q42" s="100"/>
      <c r="T42" s="1"/>
      <c r="U42" s="1"/>
    </row>
    <row r="43" spans="3:21" ht="12" customHeight="1">
      <c r="C43" s="82"/>
      <c r="M43" s="5"/>
      <c r="N43" s="5"/>
      <c r="O43" s="83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25">
    <mergeCell ref="C2:F5"/>
    <mergeCell ref="G2:O2"/>
    <mergeCell ref="G3:O3"/>
    <mergeCell ref="G4:O4"/>
    <mergeCell ref="G5:O5"/>
    <mergeCell ref="D7:M7"/>
    <mergeCell ref="D8:M8"/>
    <mergeCell ref="D10:M10"/>
    <mergeCell ref="D12:M12"/>
    <mergeCell ref="J14:K14"/>
    <mergeCell ref="L14:O14"/>
    <mergeCell ref="D20:O21"/>
    <mergeCell ref="O22:O23"/>
    <mergeCell ref="D22:D23"/>
    <mergeCell ref="E22:E23"/>
    <mergeCell ref="F22:F23"/>
    <mergeCell ref="G22:G23"/>
    <mergeCell ref="H22:H23"/>
    <mergeCell ref="I22:I23"/>
    <mergeCell ref="E35:F35"/>
    <mergeCell ref="J22:J23"/>
    <mergeCell ref="K22:K23"/>
    <mergeCell ref="L22:L23"/>
    <mergeCell ref="M22:M23"/>
    <mergeCell ref="N22:N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4"/>
  <rowBreaks count="1" manualBreakCount="1">
    <brk id="44" max="255" man="1"/>
  </rowBreaks>
  <drawing r:id="rId3"/>
  <legacyDrawing r:id="rId2"/>
  <oleObjects>
    <oleObject progId="Equation.3" shapeId="1293351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W45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380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R2" s="129"/>
      <c r="S2" s="129"/>
    </row>
    <row r="3" spans="3:15" ht="19.5" customHeight="1">
      <c r="C3" s="881"/>
      <c r="D3" s="882"/>
      <c r="E3" s="882"/>
      <c r="F3" s="883"/>
      <c r="G3" s="864" t="s">
        <v>407</v>
      </c>
      <c r="H3" s="865"/>
      <c r="I3" s="865"/>
      <c r="J3" s="865"/>
      <c r="K3" s="865"/>
      <c r="L3" s="865"/>
      <c r="M3" s="865"/>
      <c r="N3" s="865"/>
      <c r="O3" s="866"/>
    </row>
    <row r="4" spans="3:21" ht="19.5" customHeight="1">
      <c r="C4" s="881"/>
      <c r="D4" s="882"/>
      <c r="E4" s="882"/>
      <c r="F4" s="883"/>
      <c r="G4" s="864" t="s">
        <v>408</v>
      </c>
      <c r="H4" s="865"/>
      <c r="I4" s="865"/>
      <c r="J4" s="865"/>
      <c r="K4" s="865"/>
      <c r="L4" s="865"/>
      <c r="M4" s="865"/>
      <c r="N4" s="865"/>
      <c r="O4" s="866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>
        <f>'[8]BASE '!G5</f>
        <v>0</v>
      </c>
      <c r="H5" s="925"/>
      <c r="I5" s="925"/>
      <c r="J5" s="925"/>
      <c r="K5" s="925"/>
      <c r="L5" s="925"/>
      <c r="M5" s="925"/>
      <c r="N5" s="925"/>
      <c r="O5" s="926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376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803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803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Q9" s="300"/>
      <c r="R9" s="301"/>
      <c r="S9" s="178"/>
      <c r="T9" s="300"/>
      <c r="U9" s="303"/>
    </row>
    <row r="10" spans="3:21" ht="12.75">
      <c r="C10" s="82"/>
      <c r="D10" s="888" t="s">
        <v>406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Q12" s="179"/>
      <c r="R12" s="30"/>
      <c r="S12" s="26"/>
      <c r="T12" s="179"/>
      <c r="U12" s="10"/>
    </row>
    <row r="13" spans="3:15" ht="1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v>0.21</v>
      </c>
      <c r="E14" s="5" t="s">
        <v>8</v>
      </c>
      <c r="F14" s="12" t="s">
        <v>377</v>
      </c>
      <c r="G14" s="12"/>
      <c r="H14" s="12"/>
      <c r="I14" s="12"/>
      <c r="J14" s="810" t="s">
        <v>51</v>
      </c>
      <c r="K14" s="810"/>
      <c r="L14" s="922" t="s">
        <v>411</v>
      </c>
      <c r="M14" s="922"/>
      <c r="N14" s="922"/>
      <c r="O14" s="923"/>
    </row>
    <row r="15" spans="3:15" ht="15" customHeight="1" thickBot="1">
      <c r="C15" s="87" t="s">
        <v>5</v>
      </c>
      <c r="D15" s="125">
        <v>1.248</v>
      </c>
      <c r="E15" s="5"/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</row>
    <row r="16" spans="3:23" ht="15" customHeight="1">
      <c r="C16" s="87" t="s">
        <v>6</v>
      </c>
      <c r="D16" s="91">
        <f>D14/D15</f>
        <v>0.16826923076923075</v>
      </c>
      <c r="E16" s="8" t="s">
        <v>7</v>
      </c>
      <c r="F16" s="92">
        <f>POWER($D$16,2/3)</f>
        <v>0.3047917023479958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v>171.57</v>
      </c>
      <c r="L17" s="8" t="s">
        <v>14</v>
      </c>
      <c r="M17" s="5"/>
      <c r="N17" s="5"/>
      <c r="O17" s="83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88" t="s">
        <v>97</v>
      </c>
      <c r="D18" s="426">
        <f aca="true" t="shared" si="0" ref="D18:O18">D19*$D$14</f>
        <v>0.134937038787566</v>
      </c>
      <c r="E18" s="426">
        <f t="shared" si="0"/>
        <v>0.14152316022627817</v>
      </c>
      <c r="F18" s="426">
        <f t="shared" si="0"/>
        <v>0.1478161199737989</v>
      </c>
      <c r="G18" s="426">
        <f t="shared" si="0"/>
        <v>0.1538518955612319</v>
      </c>
      <c r="H18" s="426">
        <f t="shared" si="0"/>
        <v>0.1596596574324896</v>
      </c>
      <c r="I18" s="426">
        <f t="shared" si="0"/>
        <v>0.16526344621583938</v>
      </c>
      <c r="J18" s="426">
        <f t="shared" si="0"/>
        <v>0.17068335331487763</v>
      </c>
      <c r="K18" s="426">
        <f t="shared" si="0"/>
        <v>0.1759363735629647</v>
      </c>
      <c r="L18" s="426">
        <f t="shared" si="0"/>
        <v>0.18103703484691405</v>
      </c>
      <c r="M18" s="426">
        <f t="shared" si="0"/>
        <v>0.1859978721110499</v>
      </c>
      <c r="N18" s="426">
        <f t="shared" si="0"/>
        <v>0.19082979031984024</v>
      </c>
      <c r="O18" s="650">
        <f t="shared" si="0"/>
        <v>0.19554234660857964</v>
      </c>
      <c r="P18" s="12"/>
      <c r="Q18" s="46" t="s">
        <v>139</v>
      </c>
      <c r="R18" s="311">
        <v>0.8</v>
      </c>
      <c r="S18" s="31"/>
      <c r="T18" s="38" t="s">
        <v>29</v>
      </c>
      <c r="U18" s="311">
        <v>3.2</v>
      </c>
      <c r="V18" s="5"/>
      <c r="W18" s="45"/>
    </row>
    <row r="19" spans="2:23" ht="12.75">
      <c r="B19" s="15"/>
      <c r="C19" s="382" t="s">
        <v>16</v>
      </c>
      <c r="D19" s="649">
        <f aca="true" t="shared" si="1" ref="D19:O19">($F$16/$D$17)*POWER(D22/100,1/2)</f>
        <v>0.6425573275598381</v>
      </c>
      <c r="E19" s="649">
        <f t="shared" si="1"/>
        <v>0.6739198106013247</v>
      </c>
      <c r="F19" s="649">
        <f t="shared" si="1"/>
        <v>0.7038862855895186</v>
      </c>
      <c r="G19" s="649">
        <f t="shared" si="1"/>
        <v>0.7326280741011044</v>
      </c>
      <c r="H19" s="649">
        <f t="shared" si="1"/>
        <v>0.7602840830118553</v>
      </c>
      <c r="I19" s="649">
        <f t="shared" si="1"/>
        <v>0.7869687915039971</v>
      </c>
      <c r="J19" s="649">
        <f t="shared" si="1"/>
        <v>0.8127778729279888</v>
      </c>
      <c r="K19" s="649">
        <f t="shared" si="1"/>
        <v>0.8377922550617367</v>
      </c>
      <c r="L19" s="649">
        <f t="shared" si="1"/>
        <v>0.8620811183186383</v>
      </c>
      <c r="M19" s="649">
        <f t="shared" si="1"/>
        <v>0.8857041529097615</v>
      </c>
      <c r="N19" s="649">
        <f t="shared" si="1"/>
        <v>0.9087132872373345</v>
      </c>
      <c r="O19" s="651">
        <f t="shared" si="1"/>
        <v>0.9311540314694269</v>
      </c>
      <c r="P19" s="804">
        <v>0.4</v>
      </c>
      <c r="Q19" s="46" t="s">
        <v>140</v>
      </c>
      <c r="R19" s="311">
        <v>0.7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702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0.1</v>
      </c>
      <c r="E22" s="927">
        <v>0.11</v>
      </c>
      <c r="F22" s="927">
        <v>0.12</v>
      </c>
      <c r="G22" s="927">
        <v>0.13</v>
      </c>
      <c r="H22" s="927">
        <v>0.14</v>
      </c>
      <c r="I22" s="927">
        <v>0.15</v>
      </c>
      <c r="J22" s="927">
        <v>0.16</v>
      </c>
      <c r="K22" s="927">
        <v>0.17</v>
      </c>
      <c r="L22" s="927">
        <v>0.18</v>
      </c>
      <c r="M22" s="927">
        <v>0.19</v>
      </c>
      <c r="N22" s="927">
        <v>0.2</v>
      </c>
      <c r="O22" s="930">
        <v>0.21</v>
      </c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Q23" s="49">
        <f>($D$14*$F$16)/$D$17</f>
        <v>4.267083832871942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656.3987690181988</v>
      </c>
      <c r="E24" s="65">
        <f aca="true" t="shared" si="3" ref="E24:E33">(($Q$23/R24)/10)*SQRT($E$22)</f>
        <v>688.4368368742823</v>
      </c>
      <c r="F24" s="65">
        <f aca="true" t="shared" si="4" ref="F24:F33">(($Q$23/R24)/10)*SQRT($F$22)</f>
        <v>719.0488250197812</v>
      </c>
      <c r="G24" s="65">
        <f aca="true" t="shared" si="5" ref="G24:G33">(($Q$23/R24)/10)*SQRT($G$22)</f>
        <v>748.4097454998757</v>
      </c>
      <c r="H24" s="65">
        <f aca="true" t="shared" si="6" ref="H24:H33">(($Q$23/R24)/10)*SQRT($H$22)</f>
        <v>776.6614974080081</v>
      </c>
      <c r="I24" s="65">
        <f aca="true" t="shared" si="7" ref="I24:I33">(($Q$23/R24)/10)*SQRT($I$22)</f>
        <v>803.9210259427913</v>
      </c>
      <c r="J24" s="65">
        <f aca="true" t="shared" si="8" ref="J24:J33">(($Q$23/R24)/10)*SQRT($J$22)</f>
        <v>830.2860653713096</v>
      </c>
      <c r="K24" s="65">
        <f aca="true" t="shared" si="9" ref="K24:K33">(($Q$23/R24)/10)*SQRT($K$22)</f>
        <v>855.8392867510998</v>
      </c>
      <c r="L24" s="65">
        <f aca="true" t="shared" si="10" ref="L24:L33">(($Q$23/R24)/10)*SQRT($L$22)</f>
        <v>880.6513607231252</v>
      </c>
      <c r="M24" s="65">
        <f aca="true" t="shared" si="11" ref="M24:M33">(($Q$23/R24)/10)*SQRT($M$22)</f>
        <v>904.783263295886</v>
      </c>
      <c r="N24" s="65">
        <f aca="true" t="shared" si="12" ref="N24:N33">(($Q$23/R24)/10)*SQRT($N$22)</f>
        <v>928.2880414705412</v>
      </c>
      <c r="O24" s="66">
        <f aca="true" t="shared" si="13" ref="O24:O33">(($Q$23/R24)/10)*SQRT($O$22)</f>
        <v>951.2121857577698</v>
      </c>
      <c r="Q24" s="51"/>
      <c r="R24" s="29">
        <f aca="true" t="shared" si="14" ref="R24:R33">((0.278*$K$17*POWER(10,-6)*(($R$18*$U$18)+($R$19*W24)+($R$20*$U$20))))</f>
        <v>0.0002055717426</v>
      </c>
      <c r="S24" s="165">
        <f aca="true" t="shared" si="15" ref="S24:S33">($Q$23/R24)/10</f>
        <v>2075.715163428274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564.6863661613648</v>
      </c>
      <c r="E25" s="67">
        <f t="shared" si="3"/>
        <v>592.2480572710895</v>
      </c>
      <c r="F25" s="67">
        <f t="shared" si="4"/>
        <v>618.5829213244028</v>
      </c>
      <c r="G25" s="67">
        <f t="shared" si="5"/>
        <v>643.8415175857217</v>
      </c>
      <c r="H25" s="67">
        <f t="shared" si="6"/>
        <v>668.1459189278476</v>
      </c>
      <c r="I25" s="67">
        <f t="shared" si="7"/>
        <v>691.5967309008846</v>
      </c>
      <c r="J25" s="67">
        <f t="shared" si="8"/>
        <v>714.2780322854983</v>
      </c>
      <c r="K25" s="67">
        <f t="shared" si="9"/>
        <v>736.2609432928626</v>
      </c>
      <c r="L25" s="67">
        <f t="shared" si="10"/>
        <v>757.6062604224892</v>
      </c>
      <c r="M25" s="67">
        <f t="shared" si="11"/>
        <v>778.3664400808923</v>
      </c>
      <c r="N25" s="67">
        <f t="shared" si="12"/>
        <v>798.5871175125817</v>
      </c>
      <c r="O25" s="68">
        <f t="shared" si="13"/>
        <v>818.3082875481017</v>
      </c>
      <c r="Q25" s="51"/>
      <c r="R25" s="30">
        <f t="shared" si="14"/>
        <v>0.00023895926459999996</v>
      </c>
      <c r="S25" s="78">
        <f t="shared" si="15"/>
        <v>1785.6950807137455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527.8131892664996</v>
      </c>
      <c r="E26" s="67">
        <f t="shared" si="3"/>
        <v>553.5751430836116</v>
      </c>
      <c r="F26" s="67">
        <f t="shared" si="4"/>
        <v>578.1903798200109</v>
      </c>
      <c r="G26" s="67">
        <f t="shared" si="5"/>
        <v>601.799627444863</v>
      </c>
      <c r="H26" s="67">
        <f t="shared" si="6"/>
        <v>624.5169876545739</v>
      </c>
      <c r="I26" s="67">
        <f t="shared" si="7"/>
        <v>646.4364966069835</v>
      </c>
      <c r="J26" s="67">
        <f t="shared" si="8"/>
        <v>667.6367428638705</v>
      </c>
      <c r="K26" s="67">
        <f t="shared" si="9"/>
        <v>688.184202592769</v>
      </c>
      <c r="L26" s="67">
        <f t="shared" si="10"/>
        <v>708.1357023725133</v>
      </c>
      <c r="M26" s="67">
        <f t="shared" si="11"/>
        <v>727.5402732845653</v>
      </c>
      <c r="N26" s="67">
        <f t="shared" si="12"/>
        <v>746.440570660081</v>
      </c>
      <c r="O26" s="68">
        <f t="shared" si="13"/>
        <v>764.8739777268637</v>
      </c>
      <c r="Q26" s="51"/>
      <c r="R26" s="30">
        <f t="shared" si="14"/>
        <v>0.0002556530256</v>
      </c>
      <c r="S26" s="78">
        <f t="shared" si="15"/>
        <v>1669.0918571596762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495.4603668070818</v>
      </c>
      <c r="E27" s="67">
        <f t="shared" si="3"/>
        <v>519.6432166248962</v>
      </c>
      <c r="F27" s="67">
        <f t="shared" si="4"/>
        <v>542.7496385000452</v>
      </c>
      <c r="G27" s="67">
        <f t="shared" si="5"/>
        <v>564.9117343440394</v>
      </c>
      <c r="H27" s="67">
        <f t="shared" si="6"/>
        <v>586.2366118788995</v>
      </c>
      <c r="I27" s="67">
        <f t="shared" si="7"/>
        <v>606.812543224769</v>
      </c>
      <c r="J27" s="67">
        <f t="shared" si="8"/>
        <v>626.7132997811464</v>
      </c>
      <c r="K27" s="67">
        <f t="shared" si="9"/>
        <v>646.0012829942629</v>
      </c>
      <c r="L27" s="67">
        <f t="shared" si="10"/>
        <v>664.7298362025692</v>
      </c>
      <c r="M27" s="67">
        <f t="shared" si="11"/>
        <v>682.944985079732</v>
      </c>
      <c r="N27" s="67">
        <f t="shared" si="12"/>
        <v>700.6867703569236</v>
      </c>
      <c r="O27" s="68">
        <f t="shared" si="13"/>
        <v>717.9902838206635</v>
      </c>
      <c r="Q27" s="51"/>
      <c r="R27" s="30">
        <f t="shared" si="14"/>
        <v>0.0002723467866</v>
      </c>
      <c r="S27" s="78">
        <f t="shared" si="15"/>
        <v>1566.7832494528657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466.8446690541976</v>
      </c>
      <c r="E28" s="67">
        <f t="shared" si="3"/>
        <v>489.63081962510853</v>
      </c>
      <c r="F28" s="67">
        <f t="shared" si="4"/>
        <v>511.402712184036</v>
      </c>
      <c r="G28" s="67">
        <f t="shared" si="5"/>
        <v>532.2848189941361</v>
      </c>
      <c r="H28" s="67">
        <f t="shared" si="6"/>
        <v>552.3780616878739</v>
      </c>
      <c r="I28" s="67">
        <f t="shared" si="7"/>
        <v>571.7656141606321</v>
      </c>
      <c r="J28" s="67">
        <f t="shared" si="8"/>
        <v>590.5169870875158</v>
      </c>
      <c r="K28" s="67">
        <f t="shared" si="9"/>
        <v>608.690977870832</v>
      </c>
      <c r="L28" s="67">
        <f t="shared" si="10"/>
        <v>626.3378489631469</v>
      </c>
      <c r="M28" s="67">
        <f t="shared" si="11"/>
        <v>643.5009677896485</v>
      </c>
      <c r="N28" s="67">
        <f t="shared" si="12"/>
        <v>660.2180624980253</v>
      </c>
      <c r="O28" s="68">
        <f t="shared" si="13"/>
        <v>676.5221981214503</v>
      </c>
      <c r="Q28" s="51"/>
      <c r="R28" s="30">
        <f t="shared" si="14"/>
        <v>0.00028904054759999997</v>
      </c>
      <c r="S28" s="78">
        <f t="shared" si="15"/>
        <v>1476.2924677187893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441.35393049429604</v>
      </c>
      <c r="E29" s="67">
        <f t="shared" si="3"/>
        <v>462.89590747709167</v>
      </c>
      <c r="F29" s="67">
        <f t="shared" si="4"/>
        <v>483.47900715058626</v>
      </c>
      <c r="G29" s="67">
        <f t="shared" si="5"/>
        <v>503.22090532050936</v>
      </c>
      <c r="H29" s="67">
        <f t="shared" si="6"/>
        <v>522.2170130777715</v>
      </c>
      <c r="I29" s="67">
        <f t="shared" si="7"/>
        <v>540.5459628414089</v>
      </c>
      <c r="J29" s="67">
        <f t="shared" si="8"/>
        <v>558.273469851848</v>
      </c>
      <c r="K29" s="67">
        <f t="shared" si="9"/>
        <v>575.4551210448114</v>
      </c>
      <c r="L29" s="67">
        <f t="shared" si="10"/>
        <v>592.138434433178</v>
      </c>
      <c r="M29" s="67">
        <f t="shared" si="11"/>
        <v>608.3644094860015</v>
      </c>
      <c r="N29" s="67">
        <f t="shared" si="12"/>
        <v>624.1687143117057</v>
      </c>
      <c r="O29" s="68">
        <f t="shared" si="13"/>
        <v>639.5826085204351</v>
      </c>
      <c r="Q29" s="51"/>
      <c r="R29" s="30">
        <f t="shared" si="14"/>
        <v>0.0003057343086</v>
      </c>
      <c r="S29" s="78">
        <f t="shared" si="15"/>
        <v>1395.6836746296199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397.90136349767045</v>
      </c>
      <c r="E30" s="67">
        <f t="shared" si="3"/>
        <v>417.32247073532454</v>
      </c>
      <c r="F30" s="67">
        <f t="shared" si="4"/>
        <v>435.87910489947365</v>
      </c>
      <c r="G30" s="67">
        <f t="shared" si="5"/>
        <v>453.6773562734831</v>
      </c>
      <c r="H30" s="67">
        <f t="shared" si="6"/>
        <v>470.803242451268</v>
      </c>
      <c r="I30" s="67">
        <f t="shared" si="7"/>
        <v>487.3276542634924</v>
      </c>
      <c r="J30" s="67">
        <f t="shared" si="8"/>
        <v>503.30983709568847</v>
      </c>
      <c r="K30" s="67">
        <f t="shared" si="9"/>
        <v>518.7999051894853</v>
      </c>
      <c r="L30" s="67">
        <f t="shared" si="10"/>
        <v>533.8406982723868</v>
      </c>
      <c r="M30" s="67">
        <f t="shared" si="11"/>
        <v>548.4691792975062</v>
      </c>
      <c r="N30" s="67">
        <f t="shared" si="12"/>
        <v>562.7175047451524</v>
      </c>
      <c r="O30" s="68">
        <f t="shared" si="13"/>
        <v>576.6138566267213</v>
      </c>
      <c r="Q30" s="51"/>
      <c r="R30" s="30">
        <f t="shared" si="14"/>
        <v>0.0003391218306</v>
      </c>
      <c r="S30" s="78">
        <f t="shared" si="15"/>
        <v>1258.2745927392211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802">
        <v>6</v>
      </c>
      <c r="D31" s="72">
        <f t="shared" si="2"/>
        <v>362.2379890484556</v>
      </c>
      <c r="E31" s="67">
        <f t="shared" si="3"/>
        <v>379.91840805738263</v>
      </c>
      <c r="F31" s="67">
        <f t="shared" si="4"/>
        <v>396.8118355742968</v>
      </c>
      <c r="G31" s="67">
        <f t="shared" si="5"/>
        <v>413.01485315037974</v>
      </c>
      <c r="H31" s="67">
        <f t="shared" si="6"/>
        <v>428.6057687360456</v>
      </c>
      <c r="I31" s="67">
        <f t="shared" si="7"/>
        <v>443.64911931029854</v>
      </c>
      <c r="J31" s="67">
        <f t="shared" si="8"/>
        <v>458.1988401728996</v>
      </c>
      <c r="K31" s="67">
        <f t="shared" si="9"/>
        <v>472.3005538920924</v>
      </c>
      <c r="L31" s="67">
        <f t="shared" si="10"/>
        <v>485.99326052710256</v>
      </c>
      <c r="M31" s="67">
        <f t="shared" si="11"/>
        <v>499.3106100903035</v>
      </c>
      <c r="N31" s="67">
        <f t="shared" si="12"/>
        <v>512.2818769190825</v>
      </c>
      <c r="O31" s="68">
        <f t="shared" si="13"/>
        <v>524.9327171083213</v>
      </c>
      <c r="Q31" s="51"/>
      <c r="R31" s="30">
        <f t="shared" si="14"/>
        <v>0.00037250935259999996</v>
      </c>
      <c r="S31" s="78">
        <f t="shared" si="15"/>
        <v>1145.497100432249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332.4416797260208</v>
      </c>
      <c r="E32" s="67">
        <f t="shared" si="3"/>
        <v>348.6677751971983</v>
      </c>
      <c r="F32" s="67">
        <f t="shared" si="4"/>
        <v>364.1716140816989</v>
      </c>
      <c r="G32" s="67">
        <f t="shared" si="5"/>
        <v>379.0418335022873</v>
      </c>
      <c r="H32" s="67">
        <f t="shared" si="6"/>
        <v>393.3503000973579</v>
      </c>
      <c r="I32" s="67">
        <f t="shared" si="7"/>
        <v>407.1562422812492</v>
      </c>
      <c r="J32" s="67">
        <f t="shared" si="8"/>
        <v>420.50915884257876</v>
      </c>
      <c r="K32" s="67">
        <f t="shared" si="9"/>
        <v>433.4509196118967</v>
      </c>
      <c r="L32" s="67">
        <f t="shared" si="10"/>
        <v>446.01731665295773</v>
      </c>
      <c r="M32" s="67">
        <f t="shared" si="11"/>
        <v>458.2392320570234</v>
      </c>
      <c r="N32" s="67">
        <f t="shared" si="12"/>
        <v>470.1435321666314</v>
      </c>
      <c r="O32" s="68">
        <f t="shared" si="13"/>
        <v>481.7537627045815</v>
      </c>
      <c r="Q32" s="51"/>
      <c r="R32" s="30">
        <f t="shared" si="14"/>
        <v>0.00040589687459999994</v>
      </c>
      <c r="S32" s="78">
        <f t="shared" si="15"/>
        <v>1051.2728971064469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307.1746682376153</v>
      </c>
      <c r="E33" s="69">
        <f t="shared" si="3"/>
        <v>322.16750998134177</v>
      </c>
      <c r="F33" s="69">
        <f t="shared" si="4"/>
        <v>336.49298977581515</v>
      </c>
      <c r="G33" s="69">
        <f t="shared" si="5"/>
        <v>350.23300793750974</v>
      </c>
      <c r="H33" s="69">
        <f t="shared" si="6"/>
        <v>363.4539689281776</v>
      </c>
      <c r="I33" s="69">
        <f t="shared" si="7"/>
        <v>376.2105995454322</v>
      </c>
      <c r="J33" s="69">
        <f t="shared" si="8"/>
        <v>388.5486364549778</v>
      </c>
      <c r="K33" s="69">
        <f t="shared" si="9"/>
        <v>400.50676719839754</v>
      </c>
      <c r="L33" s="69">
        <f t="shared" si="10"/>
        <v>412.118063487152</v>
      </c>
      <c r="M33" s="69">
        <f t="shared" si="11"/>
        <v>423.4110602394429</v>
      </c>
      <c r="N33" s="69">
        <f t="shared" si="12"/>
        <v>434.41058183909155</v>
      </c>
      <c r="O33" s="70">
        <f t="shared" si="13"/>
        <v>445.1383844317034</v>
      </c>
      <c r="Q33" s="53"/>
      <c r="R33" s="54">
        <f t="shared" si="14"/>
        <v>0.00043928439660000004</v>
      </c>
      <c r="S33" s="106">
        <f t="shared" si="15"/>
        <v>971.3715911374444</v>
      </c>
      <c r="T33" s="56"/>
      <c r="U33" s="57"/>
      <c r="V33" s="325">
        <f t="shared" si="16"/>
        <v>8</v>
      </c>
      <c r="W33" s="326">
        <f t="shared" si="17"/>
        <v>8</v>
      </c>
    </row>
    <row r="34" spans="2:15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3:15" ht="18" customHeight="1">
      <c r="C35" s="82"/>
      <c r="D35" s="6" t="s">
        <v>31</v>
      </c>
      <c r="E35" s="920">
        <f>Q40</f>
        <v>8946.332354375863</v>
      </c>
      <c r="F35" s="920"/>
      <c r="G35" s="3" t="s">
        <v>33</v>
      </c>
      <c r="H35" s="183" t="s">
        <v>280</v>
      </c>
      <c r="I35" s="606">
        <f>R18</f>
        <v>0.8</v>
      </c>
      <c r="J35" s="3" t="s">
        <v>281</v>
      </c>
      <c r="K35" s="606">
        <f>R19</f>
        <v>0.7</v>
      </c>
      <c r="L35" s="3" t="s">
        <v>282</v>
      </c>
      <c r="M35" s="606">
        <f>R20</f>
        <v>0.35</v>
      </c>
      <c r="N35" s="3" t="s">
        <v>283</v>
      </c>
      <c r="O35" s="83" t="s">
        <v>284</v>
      </c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7">
        <f>Q23</f>
        <v>4.267083832871942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Q39" s="98">
        <f>((0.278*$K$17*POWER(10,-6)))</f>
        <v>4.769646E-05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3.2</v>
      </c>
      <c r="M40" s="5"/>
      <c r="N40" s="5"/>
      <c r="O40" s="83"/>
      <c r="Q40" s="102">
        <f>(Q38/Q39)/10</f>
        <v>8946.332354375863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Q42" s="100"/>
      <c r="T42" s="1"/>
      <c r="U42" s="1"/>
    </row>
    <row r="43" spans="3:21" ht="12" customHeight="1">
      <c r="C43" s="82"/>
      <c r="M43" s="5"/>
      <c r="N43" s="5"/>
      <c r="O43" s="83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25">
    <mergeCell ref="C2:F5"/>
    <mergeCell ref="G2:O2"/>
    <mergeCell ref="G3:O3"/>
    <mergeCell ref="G4:O4"/>
    <mergeCell ref="G5:O5"/>
    <mergeCell ref="D7:M7"/>
    <mergeCell ref="D8:M8"/>
    <mergeCell ref="D10:M10"/>
    <mergeCell ref="D12:M12"/>
    <mergeCell ref="J14:K14"/>
    <mergeCell ref="L14:O14"/>
    <mergeCell ref="D20:O21"/>
    <mergeCell ref="O22:O23"/>
    <mergeCell ref="D22:D23"/>
    <mergeCell ref="E22:E23"/>
    <mergeCell ref="F22:F23"/>
    <mergeCell ref="G22:G23"/>
    <mergeCell ref="H22:H23"/>
    <mergeCell ref="I22:I23"/>
    <mergeCell ref="E35:F35"/>
    <mergeCell ref="J22:J23"/>
    <mergeCell ref="K22:K23"/>
    <mergeCell ref="L22:L23"/>
    <mergeCell ref="M22:M23"/>
    <mergeCell ref="N22:N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4"/>
  <rowBreaks count="1" manualBreakCount="1">
    <brk id="44" max="255" man="1"/>
  </rowBreaks>
  <drawing r:id="rId3"/>
  <legacyDrawing r:id="rId2"/>
  <oleObjects>
    <oleObject progId="Equation.3" shapeId="158819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W38"/>
  <sheetViews>
    <sheetView showGridLines="0" zoomScalePageLayoutView="0" workbookViewId="0" topLeftCell="A4">
      <selection activeCell="G3" sqref="G3:O3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19.5" customHeight="1">
      <c r="C3" s="881"/>
      <c r="D3" s="882"/>
      <c r="E3" s="882"/>
      <c r="F3" s="883"/>
      <c r="G3" s="864" t="s">
        <v>407</v>
      </c>
      <c r="H3" s="865"/>
      <c r="I3" s="865"/>
      <c r="J3" s="865"/>
      <c r="K3" s="865"/>
      <c r="L3" s="865"/>
      <c r="M3" s="865"/>
      <c r="N3" s="865"/>
      <c r="O3" s="866"/>
    </row>
    <row r="4" spans="3:18" ht="19.5" customHeight="1">
      <c r="C4" s="881"/>
      <c r="D4" s="882"/>
      <c r="E4" s="882"/>
      <c r="F4" s="883"/>
      <c r="G4" s="864" t="s">
        <v>408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19.5" customHeight="1">
      <c r="C5" s="884"/>
      <c r="D5" s="885"/>
      <c r="E5" s="885"/>
      <c r="F5" s="886"/>
      <c r="G5" s="908"/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74" t="s">
        <v>374</v>
      </c>
      <c r="E7" s="874"/>
      <c r="F7" s="874"/>
      <c r="G7" s="874"/>
      <c r="H7" s="874"/>
      <c r="I7" s="874"/>
      <c r="J7" s="874"/>
      <c r="K7" s="874"/>
      <c r="L7" s="874"/>
      <c r="M7" s="874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2.75">
      <c r="C9" s="82"/>
      <c r="D9" s="888" t="s">
        <v>410</v>
      </c>
      <c r="E9" s="888"/>
      <c r="F9" s="888"/>
      <c r="G9" s="888"/>
      <c r="H9" s="888"/>
      <c r="I9" s="888"/>
      <c r="J9" s="888"/>
      <c r="K9" s="888"/>
      <c r="L9" s="888"/>
      <c r="M9" s="888"/>
      <c r="N9" s="5"/>
      <c r="O9" s="83"/>
    </row>
    <row r="10" spans="3:15" ht="12.75">
      <c r="C10" s="82"/>
      <c r="M10" s="5"/>
      <c r="N10" s="5"/>
      <c r="O10" s="83"/>
    </row>
    <row r="11" spans="3:15" ht="12.75">
      <c r="C11" s="82"/>
      <c r="D11" s="921" t="s">
        <v>24</v>
      </c>
      <c r="E11" s="921"/>
      <c r="F11" s="921"/>
      <c r="G11" s="921"/>
      <c r="H11" s="921"/>
      <c r="I11" s="921"/>
      <c r="J11" s="921"/>
      <c r="K11" s="921"/>
      <c r="L11" s="921"/>
      <c r="M11" s="921"/>
      <c r="N11" s="5"/>
      <c r="O11" s="83"/>
    </row>
    <row r="12" spans="3:15" ht="19.5" customHeight="1">
      <c r="C12" s="87"/>
      <c r="D12" s="13"/>
      <c r="E12" s="13"/>
      <c r="F12" s="13"/>
      <c r="G12" s="13"/>
      <c r="H12" s="13"/>
      <c r="I12" s="13"/>
      <c r="O12" s="83"/>
    </row>
    <row r="13" spans="3:15" ht="15" customHeight="1">
      <c r="C13" s="87" t="s">
        <v>4</v>
      </c>
      <c r="D13" s="125">
        <v>0.175</v>
      </c>
      <c r="E13" s="5" t="s">
        <v>8</v>
      </c>
      <c r="F13" s="12"/>
      <c r="G13" s="12"/>
      <c r="H13" s="12"/>
      <c r="I13" s="12"/>
      <c r="J13" s="810" t="s">
        <v>51</v>
      </c>
      <c r="K13" s="810"/>
      <c r="L13" s="922" t="s">
        <v>411</v>
      </c>
      <c r="M13" s="922"/>
      <c r="N13" s="922"/>
      <c r="O13" s="923"/>
    </row>
    <row r="14" spans="3:15" ht="15" customHeight="1">
      <c r="C14" s="87" t="s">
        <v>5</v>
      </c>
      <c r="D14" s="125">
        <v>1.2</v>
      </c>
      <c r="E14" s="5" t="s">
        <v>7</v>
      </c>
      <c r="F14" s="8"/>
      <c r="G14" s="8"/>
      <c r="H14" s="8"/>
      <c r="I14" s="8"/>
      <c r="J14" s="6" t="s">
        <v>18</v>
      </c>
      <c r="K14" s="7">
        <f>'[8]BASE '!K15</f>
        <v>10</v>
      </c>
      <c r="L14" s="5" t="s">
        <v>12</v>
      </c>
      <c r="M14" s="5"/>
      <c r="N14" s="5"/>
      <c r="O14" s="83"/>
    </row>
    <row r="15" spans="3:15" ht="15" customHeight="1">
      <c r="C15" s="87" t="s">
        <v>6</v>
      </c>
      <c r="D15" s="91">
        <f>D13/D14</f>
        <v>0.14583333333333334</v>
      </c>
      <c r="E15" s="8" t="s">
        <v>7</v>
      </c>
      <c r="F15" s="92">
        <f>POWER($D$15,2/3)</f>
        <v>0.2770583233812907</v>
      </c>
      <c r="G15" s="8"/>
      <c r="H15" s="8"/>
      <c r="I15" s="8"/>
      <c r="J15" s="6" t="s">
        <v>17</v>
      </c>
      <c r="K15" s="7">
        <f>'[8]BASE '!K16</f>
        <v>10</v>
      </c>
      <c r="L15" s="5" t="s">
        <v>13</v>
      </c>
      <c r="M15" s="5"/>
      <c r="N15" s="5"/>
      <c r="O15" s="83"/>
    </row>
    <row r="16" spans="3:15" ht="15" customHeight="1">
      <c r="C16" s="87" t="s">
        <v>9</v>
      </c>
      <c r="D16" s="91">
        <f>'[9]BASE '!D17</f>
        <v>0.015</v>
      </c>
      <c r="E16" s="5"/>
      <c r="F16" s="5"/>
      <c r="G16" s="5"/>
      <c r="H16" s="5"/>
      <c r="I16" s="5"/>
      <c r="J16" s="6" t="s">
        <v>19</v>
      </c>
      <c r="K16" s="10">
        <v>171.57</v>
      </c>
      <c r="L16" s="8" t="s">
        <v>14</v>
      </c>
      <c r="M16" s="5"/>
      <c r="N16" s="5"/>
      <c r="O16" s="83"/>
    </row>
    <row r="17" spans="2:23" ht="18" customHeight="1">
      <c r="B17" s="15"/>
      <c r="C17" s="38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383"/>
      <c r="P17" s="19">
        <v>0.4</v>
      </c>
      <c r="Q17" s="16"/>
      <c r="R17" s="167"/>
      <c r="S17" s="167"/>
      <c r="T17" s="169"/>
      <c r="U17" s="3"/>
      <c r="V17" s="5"/>
      <c r="W17" s="5"/>
    </row>
    <row r="18" spans="2:23" ht="12.75">
      <c r="B18" s="22"/>
      <c r="C18" s="23"/>
      <c r="D18" s="830" t="s">
        <v>20</v>
      </c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2"/>
      <c r="P18" s="8"/>
      <c r="Q18" s="38" t="s">
        <v>10</v>
      </c>
      <c r="R18" s="124">
        <v>0.5</v>
      </c>
      <c r="S18" s="31"/>
      <c r="T18" s="38" t="s">
        <v>11</v>
      </c>
      <c r="U18" s="124">
        <v>6.3</v>
      </c>
      <c r="V18" s="5"/>
      <c r="W18" s="5"/>
    </row>
    <row r="19" spans="2:23" ht="12.75">
      <c r="B19" s="6"/>
      <c r="C19" s="938" t="s">
        <v>39</v>
      </c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7"/>
      <c r="Q19" s="38" t="s">
        <v>10</v>
      </c>
      <c r="R19" s="124">
        <v>0.5</v>
      </c>
      <c r="S19" s="31"/>
      <c r="T19" s="38" t="s">
        <v>210</v>
      </c>
      <c r="U19" s="124">
        <v>6.3</v>
      </c>
      <c r="V19" s="5"/>
      <c r="W19" s="5"/>
    </row>
    <row r="20" spans="2:23" ht="12.75">
      <c r="B20" s="7"/>
      <c r="C20" s="938"/>
      <c r="D20" s="939">
        <v>0.1</v>
      </c>
      <c r="E20" s="927">
        <v>0.11</v>
      </c>
      <c r="F20" s="927">
        <v>0.12</v>
      </c>
      <c r="G20" s="927">
        <v>0.13</v>
      </c>
      <c r="H20" s="927">
        <v>0.14</v>
      </c>
      <c r="I20" s="927">
        <v>0.15</v>
      </c>
      <c r="J20" s="927">
        <v>0.16</v>
      </c>
      <c r="K20" s="927">
        <v>0.17</v>
      </c>
      <c r="L20" s="927">
        <v>0.18</v>
      </c>
      <c r="M20" s="927">
        <v>0.19</v>
      </c>
      <c r="N20" s="927">
        <v>0.2</v>
      </c>
      <c r="O20" s="930">
        <v>0.48</v>
      </c>
      <c r="Q20" s="300"/>
      <c r="R20" s="715"/>
      <c r="S20" s="178"/>
      <c r="T20" s="300"/>
      <c r="U20" s="715"/>
      <c r="V20" s="5"/>
      <c r="W20" s="5"/>
    </row>
    <row r="21" spans="2:23" ht="12.75">
      <c r="B21" s="22"/>
      <c r="C21" s="25"/>
      <c r="D21" s="940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31"/>
      <c r="Q21" s="300"/>
      <c r="R21" s="715"/>
      <c r="S21" s="178"/>
      <c r="T21" s="300"/>
      <c r="U21" s="715"/>
      <c r="V21" s="5"/>
      <c r="W21" s="5"/>
    </row>
    <row r="22" spans="2:23" ht="21" customHeight="1">
      <c r="B22" s="22"/>
      <c r="C22" s="941" t="s">
        <v>40</v>
      </c>
      <c r="D22" s="943">
        <f aca="true" t="shared" si="0" ref="D22:O22">(($Q$23/$R$24)/10)*SQRT(D20)</f>
        <v>680.3326133888888</v>
      </c>
      <c r="E22" s="945">
        <f t="shared" si="0"/>
        <v>713.5388646209894</v>
      </c>
      <c r="F22" s="945">
        <f t="shared" si="0"/>
        <v>745.2670379190712</v>
      </c>
      <c r="G22" s="945">
        <f t="shared" si="0"/>
        <v>775.6985266794838</v>
      </c>
      <c r="H22" s="945">
        <f t="shared" si="0"/>
        <v>804.9804039706665</v>
      </c>
      <c r="I22" s="945">
        <f t="shared" si="0"/>
        <v>833.2338790884784</v>
      </c>
      <c r="J22" s="945">
        <f t="shared" si="0"/>
        <v>860.5602499214616</v>
      </c>
      <c r="K22" s="945">
        <f t="shared" si="0"/>
        <v>887.0452019085295</v>
      </c>
      <c r="L22" s="945">
        <f t="shared" si="0"/>
        <v>912.7619825085834</v>
      </c>
      <c r="M22" s="945">
        <f t="shared" si="0"/>
        <v>937.7737910589392</v>
      </c>
      <c r="N22" s="945">
        <f t="shared" si="0"/>
        <v>962.1356087792981</v>
      </c>
      <c r="O22" s="947">
        <f t="shared" si="0"/>
        <v>1490.5340758381424</v>
      </c>
      <c r="Q22" s="11" t="s">
        <v>22</v>
      </c>
      <c r="R22" s="11" t="s">
        <v>21</v>
      </c>
      <c r="S22" s="11" t="s">
        <v>23</v>
      </c>
      <c r="T22" s="114"/>
      <c r="U22" s="7"/>
      <c r="V22" s="7"/>
      <c r="W22" s="7"/>
    </row>
    <row r="23" spans="2:23" ht="21" customHeight="1">
      <c r="B23" s="22"/>
      <c r="C23" s="942"/>
      <c r="D23" s="944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8"/>
      <c r="Q23" s="590">
        <f>($D$13*$F$15)/$D$16</f>
        <v>3.2323471061150584</v>
      </c>
      <c r="R23" s="30"/>
      <c r="S23" s="26"/>
      <c r="T23" s="114"/>
      <c r="U23" s="3"/>
      <c r="V23" s="3"/>
      <c r="W23" s="3"/>
    </row>
    <row r="24" spans="3:23" ht="21" customHeight="1">
      <c r="C24" s="949" t="s">
        <v>41</v>
      </c>
      <c r="D24" s="943">
        <f aca="true" t="shared" si="1" ref="D24:O24">(($Q$23/$R$25)/10)*SQRT(D20)</f>
        <v>680.3326133888888</v>
      </c>
      <c r="E24" s="945">
        <f t="shared" si="1"/>
        <v>713.5388646209894</v>
      </c>
      <c r="F24" s="945">
        <f t="shared" si="1"/>
        <v>745.2670379190712</v>
      </c>
      <c r="G24" s="945">
        <f t="shared" si="1"/>
        <v>775.6985266794838</v>
      </c>
      <c r="H24" s="945">
        <f t="shared" si="1"/>
        <v>804.9804039706665</v>
      </c>
      <c r="I24" s="945">
        <f t="shared" si="1"/>
        <v>833.2338790884784</v>
      </c>
      <c r="J24" s="945">
        <f t="shared" si="1"/>
        <v>860.5602499214616</v>
      </c>
      <c r="K24" s="945">
        <f t="shared" si="1"/>
        <v>887.0452019085295</v>
      </c>
      <c r="L24" s="945">
        <f t="shared" si="1"/>
        <v>912.7619825085834</v>
      </c>
      <c r="M24" s="945">
        <f t="shared" si="1"/>
        <v>937.7737910589392</v>
      </c>
      <c r="N24" s="945">
        <f t="shared" si="1"/>
        <v>962.1356087792981</v>
      </c>
      <c r="O24" s="947">
        <f t="shared" si="1"/>
        <v>1490.5340758381424</v>
      </c>
      <c r="Q24" s="3"/>
      <c r="R24" s="30">
        <f>((0.278*$K$16*POWER(10,-6)*(($R$18*$U$18))))</f>
        <v>0.000150243849</v>
      </c>
      <c r="S24" s="26">
        <f>($Q$23/R24)/10</f>
        <v>2151.400624803654</v>
      </c>
      <c r="T24" s="3"/>
      <c r="U24" s="10"/>
      <c r="V24" s="52"/>
      <c r="W24" s="591"/>
    </row>
    <row r="25" spans="3:23" ht="18" customHeight="1">
      <c r="C25" s="950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3"/>
      <c r="R25" s="30">
        <f>((0.278*$K$16*POWER(10,-6)*(($R$19*$U$19))))</f>
        <v>0.000150243849</v>
      </c>
      <c r="S25" s="26">
        <f>($Q$23/R25)/10</f>
        <v>2151.400624803654</v>
      </c>
      <c r="T25" s="3"/>
      <c r="U25" s="10"/>
      <c r="V25" s="52"/>
      <c r="W25" s="591"/>
    </row>
    <row r="26" spans="3:15" ht="42" customHeight="1">
      <c r="C26" s="88" t="s">
        <v>211</v>
      </c>
      <c r="D26" s="426">
        <f>(D27*$D$13)</f>
        <v>0.10221579043577558</v>
      </c>
      <c r="E26" s="426">
        <f>($E$27*$D$13)</f>
        <v>0.10720482543174739</v>
      </c>
      <c r="F26" s="426">
        <f>($F$27*$D$13)</f>
        <v>0.11197178830979021</v>
      </c>
      <c r="G26" s="426">
        <f>($G$27*$D$13)</f>
        <v>0.11654393231195483</v>
      </c>
      <c r="H26" s="426">
        <f>($H$27*$D$13)</f>
        <v>0.12094335426212782</v>
      </c>
      <c r="I26" s="426">
        <f>($I$27*$D$13)</f>
        <v>0.1251882651114536</v>
      </c>
      <c r="J26" s="426">
        <f>($J$27*$D$13)</f>
        <v>0.12929388424460234</v>
      </c>
      <c r="K26" s="426">
        <f>($K$27*$D$13)</f>
        <v>0.13327308537171964</v>
      </c>
      <c r="L26" s="426">
        <f>($L$27*$D$13)</f>
        <v>0.13713687347296025</v>
      </c>
      <c r="M26" s="426">
        <f>($M$27*$D$13)</f>
        <v>0.14089474386001682</v>
      </c>
      <c r="N26" s="426">
        <f>($N$27*$D$13)</f>
        <v>0.14455495712295993</v>
      </c>
      <c r="O26" s="650">
        <f>($O$27*$D$13)</f>
        <v>0.22394357661958042</v>
      </c>
    </row>
    <row r="27" spans="3:15" ht="42" customHeight="1">
      <c r="C27" s="382" t="s">
        <v>212</v>
      </c>
      <c r="D27" s="169">
        <f>($F$15/$D$16)*POWER($D$20/100,1/2)</f>
        <v>0.5840902310615748</v>
      </c>
      <c r="E27" s="169">
        <f>($F$15/$D$16)*POWER($E$20/100,1/2)</f>
        <v>0.612599002467128</v>
      </c>
      <c r="F27" s="169">
        <f>($F$15/$D$16)*POWER($F$20/100,1/2)</f>
        <v>0.6398387903416584</v>
      </c>
      <c r="G27" s="169">
        <f>($F$15/$D$16)*POWER($G$20/100,1/2)</f>
        <v>0.6659653274968848</v>
      </c>
      <c r="H27" s="169">
        <f>($F$15/$D$16)*POWER($H$20/100,1/2)</f>
        <v>0.6911048814978733</v>
      </c>
      <c r="I27" s="169">
        <f>($F$15/$D$16)*POWER($I$20/100,1/2)</f>
        <v>0.715361514922592</v>
      </c>
      <c r="J27" s="169">
        <f>($F$15/$D$16)*POWER($J$20/100,1/2)</f>
        <v>0.738822195683442</v>
      </c>
      <c r="K27" s="169">
        <f>($F$15/$D$16)*POWER($K$20/100,1/2)</f>
        <v>0.761560487838398</v>
      </c>
      <c r="L27" s="169">
        <f>($F$15/$D$16)*POWER($L$20/100,1/2)</f>
        <v>0.7836392769883443</v>
      </c>
      <c r="M27" s="169">
        <f>($F$15/$D$16)*POWER($M$20/100,1/2)</f>
        <v>0.805112822057239</v>
      </c>
      <c r="N27" s="169">
        <f>($F$15/$D$16)*POWER($N$20/100,1/2)</f>
        <v>0.8260283264169139</v>
      </c>
      <c r="O27" s="381">
        <f>($F$15/$D$16)*POWER($O$20/100,1/2)</f>
        <v>1.2796775806833167</v>
      </c>
    </row>
    <row r="28" spans="3:15" ht="18" customHeight="1">
      <c r="C28" s="82"/>
      <c r="D28" s="602" t="s">
        <v>31</v>
      </c>
      <c r="E28" s="951">
        <f>Q32</f>
        <v>6776.911968131511</v>
      </c>
      <c r="F28" s="951"/>
      <c r="G28" s="603" t="s">
        <v>33</v>
      </c>
      <c r="H28" s="604" t="s">
        <v>277</v>
      </c>
      <c r="I28" s="605">
        <f>R18</f>
        <v>0.5</v>
      </c>
      <c r="J28" s="293" t="s">
        <v>278</v>
      </c>
      <c r="K28" s="5"/>
      <c r="L28" s="5"/>
      <c r="M28" s="5"/>
      <c r="N28" s="5"/>
      <c r="O28" s="83"/>
    </row>
    <row r="29" spans="3:21" ht="15" customHeight="1">
      <c r="C29" s="82"/>
      <c r="D29" s="6"/>
      <c r="E29" s="509"/>
      <c r="F29" s="509"/>
      <c r="G29" s="3"/>
      <c r="H29" s="183"/>
      <c r="I29" s="606"/>
      <c r="J29" s="168"/>
      <c r="K29" s="5"/>
      <c r="L29" s="5"/>
      <c r="M29" s="5"/>
      <c r="N29" s="5"/>
      <c r="O29" s="83"/>
      <c r="T29" s="1"/>
      <c r="U29" s="1"/>
    </row>
    <row r="30" spans="3:21" ht="15" customHeight="1">
      <c r="C30" s="82"/>
      <c r="D30" s="6" t="s">
        <v>31</v>
      </c>
      <c r="E30" s="5" t="s">
        <v>25</v>
      </c>
      <c r="F30" s="5"/>
      <c r="G30" s="5"/>
      <c r="H30" s="5"/>
      <c r="I30" s="5"/>
      <c r="J30" s="5"/>
      <c r="K30" s="5"/>
      <c r="L30" s="5"/>
      <c r="M30" s="5"/>
      <c r="N30" s="5"/>
      <c r="O30" s="83"/>
      <c r="Q30" s="97">
        <f>Q23</f>
        <v>3.2323471061150584</v>
      </c>
      <c r="T30" s="1"/>
      <c r="U30" s="1"/>
    </row>
    <row r="31" spans="3:21" ht="15" customHeight="1">
      <c r="C31" s="82"/>
      <c r="D31" s="6" t="s">
        <v>32</v>
      </c>
      <c r="E31" s="5" t="s">
        <v>26</v>
      </c>
      <c r="F31" s="5"/>
      <c r="G31" s="5"/>
      <c r="H31" s="5"/>
      <c r="I31" s="5"/>
      <c r="J31" s="5"/>
      <c r="K31" s="5"/>
      <c r="L31" s="5"/>
      <c r="M31" s="5"/>
      <c r="N31" s="5"/>
      <c r="O31" s="83"/>
      <c r="Q31" s="98">
        <f>((0.278*$K$16*POWER(10,-6)))</f>
        <v>4.769646E-05</v>
      </c>
      <c r="T31" s="1"/>
      <c r="U31" s="1"/>
    </row>
    <row r="32" spans="3:21" ht="15" customHeight="1">
      <c r="C32" s="82"/>
      <c r="D32" s="6" t="s">
        <v>29</v>
      </c>
      <c r="E32" s="5" t="s">
        <v>172</v>
      </c>
      <c r="F32" s="5"/>
      <c r="G32" s="5"/>
      <c r="H32" s="5"/>
      <c r="I32" s="5"/>
      <c r="J32" s="5"/>
      <c r="K32" s="5"/>
      <c r="L32" s="118">
        <f>U18</f>
        <v>6.3</v>
      </c>
      <c r="M32" s="5"/>
      <c r="N32" s="5"/>
      <c r="O32" s="83"/>
      <c r="Q32" s="102">
        <f>(Q30/Q31)/10</f>
        <v>6776.911968131511</v>
      </c>
      <c r="T32" s="1"/>
      <c r="U32" s="1"/>
    </row>
    <row r="33" spans="3:21" ht="15" customHeight="1">
      <c r="C33" s="82"/>
      <c r="D33" s="6" t="s">
        <v>29</v>
      </c>
      <c r="E33" s="5" t="s">
        <v>173</v>
      </c>
      <c r="F33" s="5"/>
      <c r="G33" s="5"/>
      <c r="H33" s="5"/>
      <c r="I33" s="5"/>
      <c r="J33" s="5"/>
      <c r="K33" s="806"/>
      <c r="L33" s="118">
        <f>U19</f>
        <v>6.3</v>
      </c>
      <c r="M33" s="806"/>
      <c r="N33" s="806"/>
      <c r="O33" s="807"/>
      <c r="P33" s="806"/>
      <c r="Q33" s="806"/>
      <c r="R33" s="806"/>
      <c r="S33" s="806"/>
      <c r="T33" s="806"/>
      <c r="U33" s="1"/>
    </row>
    <row r="34" spans="3:21" ht="15" customHeight="1">
      <c r="C34" s="82"/>
      <c r="D34" s="6"/>
      <c r="E34" s="5"/>
      <c r="F34" s="5"/>
      <c r="G34" s="5"/>
      <c r="H34" s="5"/>
      <c r="I34" s="5"/>
      <c r="J34" s="5"/>
      <c r="K34" s="5"/>
      <c r="L34" s="118"/>
      <c r="M34" s="5"/>
      <c r="N34" s="5"/>
      <c r="O34" s="83"/>
      <c r="Q34" s="100"/>
      <c r="T34" s="1"/>
      <c r="U34" s="1"/>
    </row>
    <row r="35" spans="3:21" ht="15" customHeight="1">
      <c r="C35" s="82"/>
      <c r="D35" s="6"/>
      <c r="E35" s="5"/>
      <c r="F35" s="5"/>
      <c r="G35" s="5"/>
      <c r="H35" s="5"/>
      <c r="I35" s="5"/>
      <c r="J35" s="5"/>
      <c r="K35" s="5"/>
      <c r="L35" s="118"/>
      <c r="M35" s="5"/>
      <c r="N35" s="5"/>
      <c r="O35" s="83"/>
      <c r="R35" s="101"/>
      <c r="T35" s="1"/>
      <c r="U35" s="1"/>
    </row>
    <row r="36" spans="3:21" ht="6.75" customHeight="1">
      <c r="C36" s="952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4"/>
      <c r="T36" s="1"/>
      <c r="U36" s="1"/>
    </row>
    <row r="37" spans="20:21" s="5" customFormat="1" ht="15" customHeight="1">
      <c r="T37" s="3"/>
      <c r="U37" s="3"/>
    </row>
    <row r="38" ht="12.75">
      <c r="H38" s="5"/>
    </row>
  </sheetData>
  <sheetProtection/>
  <mergeCells count="54">
    <mergeCell ref="L24:L25"/>
    <mergeCell ref="M24:M25"/>
    <mergeCell ref="N24:N25"/>
    <mergeCell ref="O24:O25"/>
    <mergeCell ref="E28:F28"/>
    <mergeCell ref="C36:O36"/>
    <mergeCell ref="O22:O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I22:I23"/>
    <mergeCell ref="J22:J23"/>
    <mergeCell ref="K22:K23"/>
    <mergeCell ref="L22:L23"/>
    <mergeCell ref="M22:M23"/>
    <mergeCell ref="N22:N23"/>
    <mergeCell ref="L20:L21"/>
    <mergeCell ref="M20:M21"/>
    <mergeCell ref="N20:N21"/>
    <mergeCell ref="O20:O21"/>
    <mergeCell ref="C22:C23"/>
    <mergeCell ref="D22:D23"/>
    <mergeCell ref="E22:E23"/>
    <mergeCell ref="F22:F23"/>
    <mergeCell ref="G22:G23"/>
    <mergeCell ref="H22:H23"/>
    <mergeCell ref="D18:O19"/>
    <mergeCell ref="C19:C20"/>
    <mergeCell ref="D20:D21"/>
    <mergeCell ref="E20:E21"/>
    <mergeCell ref="F20:F21"/>
    <mergeCell ref="G20:G21"/>
    <mergeCell ref="H20:H21"/>
    <mergeCell ref="I20:I21"/>
    <mergeCell ref="J20:J21"/>
    <mergeCell ref="K20:K21"/>
    <mergeCell ref="D7:M7"/>
    <mergeCell ref="D8:M8"/>
    <mergeCell ref="D9:M9"/>
    <mergeCell ref="D11:M11"/>
    <mergeCell ref="J13:K13"/>
    <mergeCell ref="L13:O13"/>
    <mergeCell ref="C2:F5"/>
    <mergeCell ref="G2:O2"/>
    <mergeCell ref="G3:O3"/>
    <mergeCell ref="G4:O4"/>
    <mergeCell ref="Q4:R4"/>
    <mergeCell ref="G5:O5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4"/>
  <drawing r:id="rId3"/>
  <legacyDrawing r:id="rId2"/>
  <oleObjects>
    <oleObject progId="Equation.3" shapeId="598577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W38"/>
  <sheetViews>
    <sheetView showGridLines="0" zoomScalePageLayoutView="0" workbookViewId="0" topLeftCell="A10">
      <selection activeCell="U20" sqref="U20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19.5" customHeight="1">
      <c r="C3" s="881"/>
      <c r="D3" s="882"/>
      <c r="E3" s="882"/>
      <c r="F3" s="883"/>
      <c r="G3" s="864" t="s">
        <v>366</v>
      </c>
      <c r="H3" s="865"/>
      <c r="I3" s="865"/>
      <c r="J3" s="865"/>
      <c r="K3" s="865"/>
      <c r="L3" s="865"/>
      <c r="M3" s="865"/>
      <c r="N3" s="865"/>
      <c r="O3" s="866"/>
    </row>
    <row r="4" spans="3:18" ht="19.5" customHeight="1">
      <c r="C4" s="881"/>
      <c r="D4" s="882"/>
      <c r="E4" s="882"/>
      <c r="F4" s="883"/>
      <c r="G4" s="864" t="s">
        <v>367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19.5" customHeight="1">
      <c r="C5" s="884"/>
      <c r="D5" s="885"/>
      <c r="E5" s="885"/>
      <c r="F5" s="886"/>
      <c r="G5" s="908"/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74" t="s">
        <v>49</v>
      </c>
      <c r="E7" s="874"/>
      <c r="F7" s="874"/>
      <c r="G7" s="874"/>
      <c r="H7" s="874"/>
      <c r="I7" s="874"/>
      <c r="J7" s="874"/>
      <c r="K7" s="874"/>
      <c r="L7" s="874"/>
      <c r="M7" s="874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2.75">
      <c r="C9" s="82"/>
      <c r="D9" s="888" t="s">
        <v>372</v>
      </c>
      <c r="E9" s="888"/>
      <c r="F9" s="888"/>
      <c r="G9" s="888"/>
      <c r="H9" s="888"/>
      <c r="I9" s="888"/>
      <c r="J9" s="888"/>
      <c r="K9" s="888"/>
      <c r="L9" s="888"/>
      <c r="M9" s="888"/>
      <c r="N9" s="5"/>
      <c r="O9" s="83"/>
    </row>
    <row r="10" spans="3:15" ht="12.75">
      <c r="C10" s="82"/>
      <c r="M10" s="5"/>
      <c r="N10" s="5"/>
      <c r="O10" s="83"/>
    </row>
    <row r="11" spans="3:15" ht="12.75">
      <c r="C11" s="82"/>
      <c r="D11" s="921" t="s">
        <v>24</v>
      </c>
      <c r="E11" s="921"/>
      <c r="F11" s="921"/>
      <c r="G11" s="921"/>
      <c r="H11" s="921"/>
      <c r="I11" s="921"/>
      <c r="J11" s="921"/>
      <c r="K11" s="921"/>
      <c r="L11" s="921"/>
      <c r="M11" s="921"/>
      <c r="N11" s="5"/>
      <c r="O11" s="83"/>
    </row>
    <row r="12" spans="3:15" ht="19.5" customHeight="1">
      <c r="C12" s="87"/>
      <c r="D12" s="13"/>
      <c r="E12" s="13"/>
      <c r="F12" s="13"/>
      <c r="G12" s="13"/>
      <c r="H12" s="13"/>
      <c r="I12" s="13"/>
      <c r="O12" s="83"/>
    </row>
    <row r="13" spans="3:15" ht="15" customHeight="1">
      <c r="C13" s="87" t="s">
        <v>4</v>
      </c>
      <c r="D13" s="125">
        <v>0.082</v>
      </c>
      <c r="E13" s="5" t="s">
        <v>8</v>
      </c>
      <c r="F13" s="12"/>
      <c r="G13" s="12"/>
      <c r="H13" s="12"/>
      <c r="I13" s="12"/>
      <c r="J13" s="810" t="s">
        <v>51</v>
      </c>
      <c r="K13" s="810"/>
      <c r="L13" s="922" t="s">
        <v>396</v>
      </c>
      <c r="M13" s="922"/>
      <c r="N13" s="922"/>
      <c r="O13" s="923"/>
    </row>
    <row r="14" spans="3:15" ht="15" customHeight="1">
      <c r="C14" s="87" t="s">
        <v>5</v>
      </c>
      <c r="D14" s="125">
        <v>0.94</v>
      </c>
      <c r="E14" s="5" t="s">
        <v>7</v>
      </c>
      <c r="F14" s="8"/>
      <c r="G14" s="8"/>
      <c r="H14" s="8"/>
      <c r="I14" s="8"/>
      <c r="J14" s="6" t="s">
        <v>18</v>
      </c>
      <c r="K14" s="7">
        <f>'[8]BASE '!K15</f>
        <v>10</v>
      </c>
      <c r="L14" s="5" t="s">
        <v>12</v>
      </c>
      <c r="M14" s="5"/>
      <c r="N14" s="5"/>
      <c r="O14" s="83"/>
    </row>
    <row r="15" spans="3:15" ht="15" customHeight="1">
      <c r="C15" s="87" t="s">
        <v>6</v>
      </c>
      <c r="D15" s="91">
        <f>D13/D14</f>
        <v>0.0872340425531915</v>
      </c>
      <c r="E15" s="8" t="s">
        <v>7</v>
      </c>
      <c r="F15" s="92">
        <f>POWER($D$15,2/3)</f>
        <v>0.19669379780333082</v>
      </c>
      <c r="G15" s="8"/>
      <c r="H15" s="8"/>
      <c r="I15" s="8"/>
      <c r="J15" s="6" t="s">
        <v>17</v>
      </c>
      <c r="K15" s="7">
        <f>'[8]BASE '!K16</f>
        <v>10</v>
      </c>
      <c r="L15" s="5" t="s">
        <v>13</v>
      </c>
      <c r="M15" s="5"/>
      <c r="N15" s="5"/>
      <c r="O15" s="83"/>
    </row>
    <row r="16" spans="3:15" ht="15" customHeight="1">
      <c r="C16" s="87" t="s">
        <v>9</v>
      </c>
      <c r="D16" s="91">
        <f>'[9]BASE '!D17</f>
        <v>0.015</v>
      </c>
      <c r="E16" s="5"/>
      <c r="F16" s="5"/>
      <c r="G16" s="5"/>
      <c r="H16" s="5"/>
      <c r="I16" s="5"/>
      <c r="J16" s="6" t="s">
        <v>19</v>
      </c>
      <c r="K16" s="10">
        <v>126</v>
      </c>
      <c r="L16" s="8" t="s">
        <v>14</v>
      </c>
      <c r="M16" s="5"/>
      <c r="N16" s="5"/>
      <c r="O16" s="83"/>
    </row>
    <row r="17" spans="2:23" ht="18" customHeight="1">
      <c r="B17" s="15"/>
      <c r="C17" s="38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383"/>
      <c r="P17" s="19">
        <v>0.4</v>
      </c>
      <c r="Q17" s="16"/>
      <c r="R17" s="167"/>
      <c r="S17" s="167"/>
      <c r="T17" s="169"/>
      <c r="U17" s="3"/>
      <c r="V17" s="5"/>
      <c r="W17" s="5"/>
    </row>
    <row r="18" spans="2:23" ht="12.75">
      <c r="B18" s="22"/>
      <c r="C18" s="23"/>
      <c r="D18" s="830" t="s">
        <v>20</v>
      </c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2"/>
      <c r="P18" s="8"/>
      <c r="Q18" s="38" t="s">
        <v>10</v>
      </c>
      <c r="R18" s="124">
        <v>0.8</v>
      </c>
      <c r="S18" s="31"/>
      <c r="T18" s="38" t="s">
        <v>11</v>
      </c>
      <c r="U18" s="124">
        <v>3.2</v>
      </c>
      <c r="V18" s="5"/>
      <c r="W18" s="5"/>
    </row>
    <row r="19" spans="2:23" ht="12.75">
      <c r="B19" s="6"/>
      <c r="C19" s="938" t="s">
        <v>39</v>
      </c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7"/>
      <c r="Q19" s="38" t="s">
        <v>10</v>
      </c>
      <c r="R19" s="124">
        <v>0.8</v>
      </c>
      <c r="S19" s="31"/>
      <c r="T19" s="38" t="s">
        <v>210</v>
      </c>
      <c r="U19" s="124">
        <v>6.4</v>
      </c>
      <c r="V19" s="5"/>
      <c r="W19" s="5"/>
    </row>
    <row r="20" spans="2:23" ht="12.75">
      <c r="B20" s="7"/>
      <c r="C20" s="938"/>
      <c r="D20" s="939">
        <v>0.1</v>
      </c>
      <c r="E20" s="927">
        <v>0.11</v>
      </c>
      <c r="F20" s="927">
        <v>0.12</v>
      </c>
      <c r="G20" s="927">
        <v>0.13</v>
      </c>
      <c r="H20" s="927">
        <v>0.14</v>
      </c>
      <c r="I20" s="927">
        <v>0.15</v>
      </c>
      <c r="J20" s="927">
        <v>0.16</v>
      </c>
      <c r="K20" s="927">
        <v>0.17</v>
      </c>
      <c r="L20" s="927">
        <v>0.18</v>
      </c>
      <c r="M20" s="927">
        <v>0.19</v>
      </c>
      <c r="N20" s="927">
        <v>0.2</v>
      </c>
      <c r="O20" s="930">
        <v>0.48</v>
      </c>
      <c r="Q20" s="300"/>
      <c r="R20" s="715"/>
      <c r="S20" s="178"/>
      <c r="T20" s="300"/>
      <c r="U20" s="715"/>
      <c r="V20" s="5"/>
      <c r="W20" s="5"/>
    </row>
    <row r="21" spans="2:23" ht="12.75">
      <c r="B21" s="22"/>
      <c r="C21" s="25"/>
      <c r="D21" s="940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31"/>
      <c r="Q21" s="300"/>
      <c r="R21" s="715"/>
      <c r="S21" s="178"/>
      <c r="T21" s="300"/>
      <c r="U21" s="715"/>
      <c r="V21" s="5"/>
      <c r="W21" s="5"/>
    </row>
    <row r="22" spans="2:23" ht="21" customHeight="1">
      <c r="B22" s="22"/>
      <c r="C22" s="941" t="s">
        <v>40</v>
      </c>
      <c r="D22" s="943">
        <f aca="true" t="shared" si="0" ref="D22:O22">(($Q$23/$R$24)/10)*SQRT(D20)</f>
        <v>379.19094055370465</v>
      </c>
      <c r="E22" s="945">
        <f t="shared" si="0"/>
        <v>397.69881359868737</v>
      </c>
      <c r="F22" s="945">
        <f t="shared" si="0"/>
        <v>415.38286348572905</v>
      </c>
      <c r="G22" s="945">
        <f t="shared" si="0"/>
        <v>432.3441918395622</v>
      </c>
      <c r="H22" s="945">
        <f t="shared" si="0"/>
        <v>448.6647714688601</v>
      </c>
      <c r="I22" s="945">
        <f t="shared" si="0"/>
        <v>464.4121597213027</v>
      </c>
      <c r="J22" s="945">
        <f t="shared" si="0"/>
        <v>479.64281610048647</v>
      </c>
      <c r="K22" s="945">
        <f t="shared" si="0"/>
        <v>494.40449833775324</v>
      </c>
      <c r="L22" s="945">
        <f t="shared" si="0"/>
        <v>508.7380317180992</v>
      </c>
      <c r="M22" s="945">
        <f t="shared" si="0"/>
        <v>522.6786410943209</v>
      </c>
      <c r="N22" s="945">
        <f t="shared" si="0"/>
        <v>536.2569708600591</v>
      </c>
      <c r="O22" s="947">
        <f t="shared" si="0"/>
        <v>830.7657269714581</v>
      </c>
      <c r="Q22" s="11" t="s">
        <v>22</v>
      </c>
      <c r="R22" s="11" t="s">
        <v>21</v>
      </c>
      <c r="S22" s="11" t="s">
        <v>23</v>
      </c>
      <c r="T22" s="114"/>
      <c r="U22" s="7"/>
      <c r="V22" s="7"/>
      <c r="W22" s="7"/>
    </row>
    <row r="23" spans="2:23" ht="21" customHeight="1">
      <c r="B23" s="22"/>
      <c r="C23" s="942"/>
      <c r="D23" s="944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8"/>
      <c r="Q23" s="590">
        <f>($D$13*$F$15)/$D$16</f>
        <v>1.075259427991542</v>
      </c>
      <c r="R23" s="30"/>
      <c r="S23" s="26"/>
      <c r="T23" s="114"/>
      <c r="U23" s="3"/>
      <c r="V23" s="3"/>
      <c r="W23" s="3"/>
    </row>
    <row r="24" spans="3:23" ht="21" customHeight="1">
      <c r="C24" s="949" t="s">
        <v>41</v>
      </c>
      <c r="D24" s="943">
        <f aca="true" t="shared" si="1" ref="D24:O24">(($Q$23/$R$25)/10)*SQRT(D20)</f>
        <v>189.59547027685232</v>
      </c>
      <c r="E24" s="945">
        <f t="shared" si="1"/>
        <v>198.84940679934368</v>
      </c>
      <c r="F24" s="945">
        <f t="shared" si="1"/>
        <v>207.69143174286452</v>
      </c>
      <c r="G24" s="945">
        <f t="shared" si="1"/>
        <v>216.1720959197811</v>
      </c>
      <c r="H24" s="945">
        <f t="shared" si="1"/>
        <v>224.33238573443006</v>
      </c>
      <c r="I24" s="945">
        <f t="shared" si="1"/>
        <v>232.20607986065136</v>
      </c>
      <c r="J24" s="945">
        <f t="shared" si="1"/>
        <v>239.82140805024324</v>
      </c>
      <c r="K24" s="945">
        <f t="shared" si="1"/>
        <v>247.20224916887662</v>
      </c>
      <c r="L24" s="945">
        <f t="shared" si="1"/>
        <v>254.3690158590496</v>
      </c>
      <c r="M24" s="945">
        <f t="shared" si="1"/>
        <v>261.33932054716047</v>
      </c>
      <c r="N24" s="945">
        <f t="shared" si="1"/>
        <v>268.12848543002957</v>
      </c>
      <c r="O24" s="947">
        <f t="shared" si="1"/>
        <v>415.38286348572905</v>
      </c>
      <c r="Q24" s="3"/>
      <c r="R24" s="30">
        <f>((0.278*$K$16*POWER(10,-6)*(($R$18*$U$18))))</f>
        <v>8.967168000000002E-05</v>
      </c>
      <c r="S24" s="26">
        <f>($Q$23/R24)/10</f>
        <v>1199.1070402512162</v>
      </c>
      <c r="T24" s="3"/>
      <c r="U24" s="10"/>
      <c r="V24" s="52"/>
      <c r="W24" s="591"/>
    </row>
    <row r="25" spans="3:23" ht="18" customHeight="1">
      <c r="C25" s="950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3"/>
      <c r="R25" s="30">
        <f>((0.278*$K$16*POWER(10,-6)*(($R$19*$U$19))))</f>
        <v>0.00017934336000000005</v>
      </c>
      <c r="S25" s="26">
        <f>($Q$23/R25)/10</f>
        <v>599.5535201256081</v>
      </c>
      <c r="T25" s="3"/>
      <c r="U25" s="10"/>
      <c r="V25" s="52"/>
      <c r="W25" s="591"/>
    </row>
    <row r="26" spans="3:15" ht="42" customHeight="1">
      <c r="C26" s="184" t="s">
        <v>211</v>
      </c>
      <c r="D26" s="778">
        <f>(D27*$D$13)</f>
        <v>0.034002688680230826</v>
      </c>
      <c r="E26" s="778">
        <f>($E$27*$D$13)</f>
        <v>0.03566232074940114</v>
      </c>
      <c r="F26" s="778">
        <f>($F$27*$D$13)</f>
        <v>0.03724807921197598</v>
      </c>
      <c r="G26" s="778">
        <f>($G$27*$D$13)</f>
        <v>0.03876903002049583</v>
      </c>
      <c r="H26" s="778">
        <f>($H$27*$D$13)</f>
        <v>0.04023252381442876</v>
      </c>
      <c r="I26" s="778">
        <f>($I$27*$D$13)</f>
        <v>0.04164461857463755</v>
      </c>
      <c r="J26" s="778">
        <f>($J$27*$D$13)</f>
        <v>0.04301037711966167</v>
      </c>
      <c r="K26" s="778">
        <f>($K$27*$D$13)</f>
        <v>0.04433408196550354</v>
      </c>
      <c r="L26" s="778">
        <f>($L$27*$D$13)</f>
        <v>0.04561939398405525</v>
      </c>
      <c r="M26" s="778">
        <f>($M$27*$D$13)</f>
        <v>0.046869471847044805</v>
      </c>
      <c r="N26" s="778">
        <f>($N$27*$D$13)</f>
        <v>0.048087063488732554</v>
      </c>
      <c r="O26" s="779">
        <f>($O$27*$D$13)</f>
        <v>0.07449615842395196</v>
      </c>
    </row>
    <row r="27" spans="3:15" ht="42" customHeight="1">
      <c r="C27" s="185" t="s">
        <v>212</v>
      </c>
      <c r="D27" s="186">
        <f>($F$15/$D$16)*POWER($D$20/100,1/2)</f>
        <v>0.41466693512476616</v>
      </c>
      <c r="E27" s="186">
        <f>($F$15/$D$16)*POWER($E$20/100,1/2)</f>
        <v>0.434906350602453</v>
      </c>
      <c r="F27" s="186">
        <f>($F$15/$D$16)*POWER($F$20/100,1/2)</f>
        <v>0.45424486843873146</v>
      </c>
      <c r="G27" s="186">
        <f>($F$15/$D$16)*POWER($G$20/100,1/2)</f>
        <v>0.47279304903043695</v>
      </c>
      <c r="H27" s="186">
        <f>($F$15/$D$16)*POWER($H$20/100,1/2)</f>
        <v>0.4906405343223019</v>
      </c>
      <c r="I27" s="186">
        <f>($F$15/$D$16)*POWER($I$20/100,1/2)</f>
        <v>0.5078612021297262</v>
      </c>
      <c r="J27" s="186">
        <f>($F$15/$D$16)*POWER($J$20/100,1/2)</f>
        <v>0.5245167941422155</v>
      </c>
      <c r="K27" s="186">
        <f>($F$15/$D$16)*POWER($K$20/100,1/2)</f>
        <v>0.5406595361646773</v>
      </c>
      <c r="L27" s="186">
        <f>($F$15/$D$16)*POWER($L$20/100,1/2)</f>
        <v>0.5563340729762835</v>
      </c>
      <c r="M27" s="186">
        <f>($F$15/$D$16)*POWER($M$20/100,1/2)</f>
        <v>0.571578924963961</v>
      </c>
      <c r="N27" s="186">
        <f>($F$15/$D$16)*POWER($N$20/100,1/2)</f>
        <v>0.5864276035211287</v>
      </c>
      <c r="O27" s="187">
        <f>($F$15/$D$16)*POWER($O$20/100,1/2)</f>
        <v>0.9084897368774629</v>
      </c>
    </row>
    <row r="28" spans="3:15" ht="18" customHeight="1">
      <c r="C28" s="82"/>
      <c r="D28" s="602" t="s">
        <v>31</v>
      </c>
      <c r="E28" s="951">
        <f>Q32</f>
        <v>3069.7140230431132</v>
      </c>
      <c r="F28" s="951"/>
      <c r="G28" s="603" t="s">
        <v>33</v>
      </c>
      <c r="H28" s="604" t="s">
        <v>277</v>
      </c>
      <c r="I28" s="605">
        <f>R18</f>
        <v>0.8</v>
      </c>
      <c r="J28" s="293" t="s">
        <v>278</v>
      </c>
      <c r="K28" s="5"/>
      <c r="L28" s="5"/>
      <c r="M28" s="5"/>
      <c r="N28" s="5"/>
      <c r="O28" s="83"/>
    </row>
    <row r="29" spans="3:21" ht="15" customHeight="1">
      <c r="C29" s="82"/>
      <c r="D29" s="6"/>
      <c r="E29" s="509"/>
      <c r="F29" s="509"/>
      <c r="G29" s="3"/>
      <c r="H29" s="183"/>
      <c r="I29" s="606"/>
      <c r="J29" s="168"/>
      <c r="K29" s="5"/>
      <c r="L29" s="5"/>
      <c r="M29" s="5"/>
      <c r="N29" s="5"/>
      <c r="O29" s="83"/>
      <c r="T29" s="1"/>
      <c r="U29" s="1"/>
    </row>
    <row r="30" spans="3:21" ht="15" customHeight="1">
      <c r="C30" s="82"/>
      <c r="D30" s="6" t="s">
        <v>31</v>
      </c>
      <c r="E30" s="5" t="s">
        <v>25</v>
      </c>
      <c r="F30" s="5"/>
      <c r="G30" s="5"/>
      <c r="H30" s="5"/>
      <c r="I30" s="5"/>
      <c r="J30" s="5"/>
      <c r="K30" s="5"/>
      <c r="L30" s="5"/>
      <c r="M30" s="5"/>
      <c r="N30" s="5"/>
      <c r="O30" s="83"/>
      <c r="Q30" s="97">
        <f>Q23</f>
        <v>1.075259427991542</v>
      </c>
      <c r="T30" s="1"/>
      <c r="U30" s="1"/>
    </row>
    <row r="31" spans="3:21" ht="15" customHeight="1">
      <c r="C31" s="82"/>
      <c r="D31" s="6" t="s">
        <v>32</v>
      </c>
      <c r="E31" s="5" t="s">
        <v>26</v>
      </c>
      <c r="F31" s="5"/>
      <c r="G31" s="5"/>
      <c r="H31" s="5"/>
      <c r="I31" s="5"/>
      <c r="J31" s="5"/>
      <c r="K31" s="5"/>
      <c r="L31" s="5"/>
      <c r="M31" s="5"/>
      <c r="N31" s="5"/>
      <c r="O31" s="83"/>
      <c r="Q31" s="98">
        <f>((0.278*$K$16*POWER(10,-6)))</f>
        <v>3.5028000000000004E-05</v>
      </c>
      <c r="T31" s="1"/>
      <c r="U31" s="1"/>
    </row>
    <row r="32" spans="3:21" ht="15" customHeight="1">
      <c r="C32" s="82"/>
      <c r="D32" s="6" t="s">
        <v>29</v>
      </c>
      <c r="E32" s="5" t="s">
        <v>172</v>
      </c>
      <c r="F32" s="5"/>
      <c r="G32" s="5"/>
      <c r="H32" s="5"/>
      <c r="I32" s="5"/>
      <c r="J32" s="5"/>
      <c r="K32" s="5"/>
      <c r="L32" s="118">
        <f>U18</f>
        <v>3.2</v>
      </c>
      <c r="M32" s="5"/>
      <c r="N32" s="5"/>
      <c r="O32" s="83"/>
      <c r="Q32" s="102">
        <f>(Q30/Q31)/10</f>
        <v>3069.7140230431132</v>
      </c>
      <c r="T32" s="1"/>
      <c r="U32" s="1"/>
    </row>
    <row r="33" spans="3:21" ht="15" customHeight="1">
      <c r="C33" s="82"/>
      <c r="D33" s="6" t="s">
        <v>29</v>
      </c>
      <c r="E33" s="5" t="s">
        <v>173</v>
      </c>
      <c r="F33" s="5"/>
      <c r="G33" s="5"/>
      <c r="H33" s="5"/>
      <c r="I33" s="5"/>
      <c r="J33" s="5"/>
      <c r="K33" s="5"/>
      <c r="L33" s="118">
        <f>U19</f>
        <v>6.4</v>
      </c>
      <c r="M33" s="5"/>
      <c r="N33" s="5"/>
      <c r="O33" s="83"/>
      <c r="Q33" s="99"/>
      <c r="T33" s="1"/>
      <c r="U33" s="1"/>
    </row>
    <row r="34" spans="3:21" ht="15" customHeight="1">
      <c r="C34" s="82"/>
      <c r="D34" s="6"/>
      <c r="E34" s="5"/>
      <c r="F34" s="5"/>
      <c r="G34" s="5"/>
      <c r="H34" s="5"/>
      <c r="I34" s="5"/>
      <c r="J34" s="5"/>
      <c r="K34" s="5"/>
      <c r="L34" s="118"/>
      <c r="M34" s="5"/>
      <c r="N34" s="5"/>
      <c r="O34" s="83"/>
      <c r="Q34" s="100"/>
      <c r="T34" s="1"/>
      <c r="U34" s="1"/>
    </row>
    <row r="35" spans="3:21" ht="15" customHeight="1">
      <c r="C35" s="82"/>
      <c r="D35" s="6"/>
      <c r="E35" s="5"/>
      <c r="F35" s="5"/>
      <c r="G35" s="5"/>
      <c r="H35" s="5"/>
      <c r="I35" s="5"/>
      <c r="J35" s="5"/>
      <c r="K35" s="5"/>
      <c r="L35" s="118"/>
      <c r="M35" s="5"/>
      <c r="N35" s="5"/>
      <c r="O35" s="83"/>
      <c r="R35" s="101"/>
      <c r="T35" s="1"/>
      <c r="U35" s="1"/>
    </row>
    <row r="36" spans="3:21" ht="6.75" customHeight="1">
      <c r="C36" s="952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4"/>
      <c r="T36" s="1"/>
      <c r="U36" s="1"/>
    </row>
    <row r="37" spans="20:21" s="5" customFormat="1" ht="15" customHeight="1">
      <c r="T37" s="3"/>
      <c r="U37" s="3"/>
    </row>
    <row r="38" ht="12.75">
      <c r="H38" s="5"/>
    </row>
  </sheetData>
  <sheetProtection/>
  <mergeCells count="54">
    <mergeCell ref="I24:I25"/>
    <mergeCell ref="J24:J25"/>
    <mergeCell ref="C24:C25"/>
    <mergeCell ref="D24:D25"/>
    <mergeCell ref="E24:E25"/>
    <mergeCell ref="F24:F25"/>
    <mergeCell ref="M22:M23"/>
    <mergeCell ref="O24:O25"/>
    <mergeCell ref="C36:O36"/>
    <mergeCell ref="K24:K25"/>
    <mergeCell ref="L24:L25"/>
    <mergeCell ref="M24:M25"/>
    <mergeCell ref="N24:N25"/>
    <mergeCell ref="E28:F28"/>
    <mergeCell ref="G24:G25"/>
    <mergeCell ref="H24:H25"/>
    <mergeCell ref="G20:G21"/>
    <mergeCell ref="I20:I21"/>
    <mergeCell ref="N22:N23"/>
    <mergeCell ref="E20:E21"/>
    <mergeCell ref="L13:O13"/>
    <mergeCell ref="O22:O23"/>
    <mergeCell ref="I22:I23"/>
    <mergeCell ref="J22:J23"/>
    <mergeCell ref="K22:K23"/>
    <mergeCell ref="L22:L23"/>
    <mergeCell ref="C19:C20"/>
    <mergeCell ref="N20:N21"/>
    <mergeCell ref="D22:D23"/>
    <mergeCell ref="E22:E23"/>
    <mergeCell ref="F22:F23"/>
    <mergeCell ref="G22:G23"/>
    <mergeCell ref="H22:H23"/>
    <mergeCell ref="J20:J21"/>
    <mergeCell ref="C22:C23"/>
    <mergeCell ref="K20:K21"/>
    <mergeCell ref="G2:O2"/>
    <mergeCell ref="G4:O4"/>
    <mergeCell ref="G5:O5"/>
    <mergeCell ref="D9:M9"/>
    <mergeCell ref="D7:M7"/>
    <mergeCell ref="D8:M8"/>
    <mergeCell ref="C2:F5"/>
    <mergeCell ref="G3:O3"/>
    <mergeCell ref="Q4:R4"/>
    <mergeCell ref="O20:O21"/>
    <mergeCell ref="D11:M11"/>
    <mergeCell ref="D18:O19"/>
    <mergeCell ref="H20:H21"/>
    <mergeCell ref="L20:L21"/>
    <mergeCell ref="M20:M21"/>
    <mergeCell ref="D20:D21"/>
    <mergeCell ref="J13:K13"/>
    <mergeCell ref="F20:F21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4"/>
  <drawing r:id="rId3"/>
  <legacyDrawing r:id="rId2"/>
  <oleObjects>
    <oleObject progId="Equation.3" shapeId="1368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S29"/>
  <sheetViews>
    <sheetView showGridLines="0"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10.7109375" style="2" customWidth="1"/>
    <col min="4" max="4" width="6.421875" style="2" customWidth="1"/>
    <col min="5" max="5" width="5.57421875" style="2" customWidth="1"/>
    <col min="6" max="6" width="5.7109375" style="2" customWidth="1"/>
    <col min="7" max="14" width="6.28125" style="2" customWidth="1"/>
    <col min="15" max="15" width="5.7109375" style="2" customWidth="1"/>
    <col min="16" max="16" width="29.8515625" style="2" customWidth="1"/>
    <col min="17" max="17" width="9.140625" style="2" customWidth="1"/>
    <col min="18" max="18" width="7.421875" style="2" customWidth="1"/>
    <col min="19" max="19" width="5.8515625" style="2" customWidth="1"/>
    <col min="20" max="16384" width="9.140625" style="2" customWidth="1"/>
  </cols>
  <sheetData>
    <row r="1" ht="6" customHeight="1">
      <c r="H1" s="5"/>
    </row>
    <row r="2" spans="3:16" ht="12.75"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2:16" s="75" customFormat="1" ht="21" customHeight="1">
      <c r="B3" s="74"/>
      <c r="C3" s="86"/>
      <c r="D3" s="828" t="s">
        <v>307</v>
      </c>
      <c r="E3" s="828"/>
      <c r="F3" s="828"/>
      <c r="G3" s="828"/>
      <c r="H3" s="828"/>
      <c r="I3" s="828"/>
      <c r="J3" s="828"/>
      <c r="K3" s="828"/>
      <c r="L3" s="828"/>
      <c r="M3" s="828"/>
      <c r="N3" s="116"/>
      <c r="O3" s="76"/>
      <c r="P3" s="90"/>
    </row>
    <row r="4" spans="2:16" s="75" customFormat="1" ht="12.75" customHeight="1">
      <c r="B4" s="74"/>
      <c r="C4" s="103"/>
      <c r="D4" s="966" t="s">
        <v>54</v>
      </c>
      <c r="E4" s="966"/>
      <c r="F4" s="966"/>
      <c r="G4" s="966"/>
      <c r="H4" s="966"/>
      <c r="I4" s="966"/>
      <c r="J4" s="966"/>
      <c r="K4" s="966"/>
      <c r="L4" s="966"/>
      <c r="M4" s="966"/>
      <c r="N4" s="117"/>
      <c r="O4" s="76"/>
      <c r="P4" s="90"/>
    </row>
    <row r="5" spans="3:16" ht="18.75" customHeight="1">
      <c r="C5" s="8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3"/>
    </row>
    <row r="6" spans="3:16" ht="12.75">
      <c r="C6" s="82"/>
      <c r="D6" s="888" t="s">
        <v>308</v>
      </c>
      <c r="E6" s="888"/>
      <c r="F6" s="888"/>
      <c r="G6" s="888"/>
      <c r="H6" s="888"/>
      <c r="I6" s="888"/>
      <c r="J6" s="888"/>
      <c r="K6" s="888"/>
      <c r="L6" s="888"/>
      <c r="M6" s="888"/>
      <c r="N6" s="5"/>
      <c r="O6" s="5"/>
      <c r="P6" s="83"/>
    </row>
    <row r="7" spans="3:16" ht="12.75">
      <c r="C7" s="82"/>
      <c r="M7" s="5"/>
      <c r="N7" s="5"/>
      <c r="O7" s="5"/>
      <c r="P7" s="83"/>
    </row>
    <row r="8" spans="3:16" ht="12.75">
      <c r="C8" s="82"/>
      <c r="D8" s="921" t="s">
        <v>24</v>
      </c>
      <c r="E8" s="921"/>
      <c r="F8" s="921"/>
      <c r="G8" s="921"/>
      <c r="H8" s="921"/>
      <c r="I8" s="921"/>
      <c r="J8" s="921"/>
      <c r="K8" s="921"/>
      <c r="L8" s="921"/>
      <c r="M8" s="921"/>
      <c r="N8" s="5"/>
      <c r="O8" s="5"/>
      <c r="P8" s="83"/>
    </row>
    <row r="9" spans="3:16" ht="15" customHeight="1">
      <c r="C9" s="87"/>
      <c r="D9" s="13"/>
      <c r="E9" s="13"/>
      <c r="F9" s="13"/>
      <c r="G9" s="13"/>
      <c r="H9" s="13"/>
      <c r="I9" s="13"/>
      <c r="O9" s="5"/>
      <c r="P9" s="83"/>
    </row>
    <row r="10" spans="3:16" ht="15" customHeight="1">
      <c r="C10" s="87" t="s">
        <v>4</v>
      </c>
      <c r="D10" s="125">
        <v>0.03</v>
      </c>
      <c r="E10" s="5" t="s">
        <v>8</v>
      </c>
      <c r="F10" s="12"/>
      <c r="G10" s="12"/>
      <c r="H10" s="12"/>
      <c r="I10" s="12"/>
      <c r="J10" s="810" t="s">
        <v>51</v>
      </c>
      <c r="K10" s="810"/>
      <c r="L10" s="922" t="s">
        <v>318</v>
      </c>
      <c r="M10" s="922"/>
      <c r="N10" s="922"/>
      <c r="O10" s="5"/>
      <c r="P10" s="83"/>
    </row>
    <row r="11" spans="3:16" ht="15" customHeight="1">
      <c r="C11" s="87" t="s">
        <v>5</v>
      </c>
      <c r="D11" s="125">
        <v>0.5</v>
      </c>
      <c r="E11" s="5" t="s">
        <v>7</v>
      </c>
      <c r="F11" s="8"/>
      <c r="G11" s="8"/>
      <c r="H11" s="8"/>
      <c r="I11" s="8"/>
      <c r="J11" s="6" t="s">
        <v>18</v>
      </c>
      <c r="K11" s="215">
        <v>10</v>
      </c>
      <c r="L11" s="5" t="s">
        <v>12</v>
      </c>
      <c r="M11" s="5"/>
      <c r="N11" s="5"/>
      <c r="O11" s="5"/>
      <c r="P11" s="83"/>
    </row>
    <row r="12" spans="3:16" ht="15" customHeight="1">
      <c r="C12" s="87" t="s">
        <v>6</v>
      </c>
      <c r="D12" s="91">
        <v>0.06</v>
      </c>
      <c r="E12" s="8" t="s">
        <v>7</v>
      </c>
      <c r="F12" s="92">
        <v>0.15326188647871064</v>
      </c>
      <c r="G12" s="8"/>
      <c r="H12" s="8"/>
      <c r="I12" s="8"/>
      <c r="J12" s="6" t="s">
        <v>17</v>
      </c>
      <c r="K12" s="215">
        <v>5</v>
      </c>
      <c r="L12" s="5" t="s">
        <v>13</v>
      </c>
      <c r="M12" s="5"/>
      <c r="N12" s="5"/>
      <c r="O12" s="5"/>
      <c r="P12" s="675"/>
    </row>
    <row r="13" spans="3:16" ht="15" customHeight="1">
      <c r="C13" s="87" t="s">
        <v>9</v>
      </c>
      <c r="D13" s="91">
        <v>0.015</v>
      </c>
      <c r="E13" s="5"/>
      <c r="F13" s="5"/>
      <c r="G13" s="5"/>
      <c r="H13" s="5"/>
      <c r="I13" s="5"/>
      <c r="J13" s="6" t="s">
        <v>19</v>
      </c>
      <c r="K13" s="307">
        <v>252.52</v>
      </c>
      <c r="L13" s="8" t="s">
        <v>14</v>
      </c>
      <c r="M13" s="5"/>
      <c r="N13" s="5"/>
      <c r="O13" s="673"/>
      <c r="P13" s="675"/>
    </row>
    <row r="14" spans="2:16" ht="12.75">
      <c r="B14" s="60"/>
      <c r="C14" s="88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675"/>
    </row>
    <row r="15" spans="2:16" ht="19.5" customHeight="1">
      <c r="B15" s="15"/>
      <c r="C15" s="382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74"/>
      <c r="P15" s="83"/>
    </row>
    <row r="16" spans="2:16" ht="12.75">
      <c r="B16" s="22"/>
      <c r="C16" s="656"/>
      <c r="D16" s="830" t="s">
        <v>20</v>
      </c>
      <c r="E16" s="831"/>
      <c r="F16" s="831"/>
      <c r="G16" s="831"/>
      <c r="H16" s="831"/>
      <c r="I16" s="831"/>
      <c r="J16" s="831"/>
      <c r="K16" s="831"/>
      <c r="L16" s="831"/>
      <c r="M16" s="831"/>
      <c r="N16" s="831"/>
      <c r="O16" s="832"/>
      <c r="P16" s="83"/>
    </row>
    <row r="17" spans="2:16" ht="12.75">
      <c r="B17" s="6"/>
      <c r="C17" s="657"/>
      <c r="D17" s="915"/>
      <c r="E17" s="916"/>
      <c r="F17" s="916"/>
      <c r="G17" s="916"/>
      <c r="H17" s="810"/>
      <c r="I17" s="916"/>
      <c r="J17" s="916"/>
      <c r="K17" s="916"/>
      <c r="L17" s="916"/>
      <c r="M17" s="916"/>
      <c r="N17" s="916"/>
      <c r="O17" s="917"/>
      <c r="P17" s="83"/>
    </row>
    <row r="18" spans="2:16" ht="12.75">
      <c r="B18" s="7"/>
      <c r="C18" s="955"/>
      <c r="D18" s="933">
        <v>0.5</v>
      </c>
      <c r="E18" s="927">
        <v>1</v>
      </c>
      <c r="F18" s="927">
        <v>1.5</v>
      </c>
      <c r="G18" s="927">
        <v>2</v>
      </c>
      <c r="H18" s="964">
        <v>2.25</v>
      </c>
      <c r="I18" s="927">
        <v>2.5</v>
      </c>
      <c r="J18" s="927">
        <v>3</v>
      </c>
      <c r="K18" s="927">
        <v>4</v>
      </c>
      <c r="L18" s="927">
        <v>4</v>
      </c>
      <c r="M18" s="927">
        <v>6</v>
      </c>
      <c r="N18" s="927">
        <v>7</v>
      </c>
      <c r="O18" s="930">
        <v>8</v>
      </c>
      <c r="P18" s="83"/>
    </row>
    <row r="19" spans="2:16" ht="12.75">
      <c r="B19" s="22"/>
      <c r="C19" s="956"/>
      <c r="D19" s="934"/>
      <c r="E19" s="928"/>
      <c r="F19" s="928"/>
      <c r="G19" s="928"/>
      <c r="H19" s="965"/>
      <c r="I19" s="928"/>
      <c r="J19" s="928"/>
      <c r="K19" s="928"/>
      <c r="L19" s="928"/>
      <c r="M19" s="928"/>
      <c r="N19" s="928"/>
      <c r="O19" s="931"/>
      <c r="P19" s="83"/>
    </row>
    <row r="20" spans="2:19" ht="18" customHeight="1">
      <c r="B20" s="22"/>
      <c r="C20" s="659" t="s">
        <v>211</v>
      </c>
      <c r="D20" s="660">
        <v>0.021674503845307825</v>
      </c>
      <c r="E20" s="661">
        <v>0.03065237729574213</v>
      </c>
      <c r="F20" s="661">
        <v>0.03754134188892016</v>
      </c>
      <c r="G20" s="661">
        <v>0.04334900769061565</v>
      </c>
      <c r="H20" s="662">
        <v>0.045978565943613194</v>
      </c>
      <c r="I20" s="661">
        <v>0.04846566397668889</v>
      </c>
      <c r="J20" s="661">
        <v>0.05309147484899607</v>
      </c>
      <c r="K20" s="661">
        <v>0.06130475459148426</v>
      </c>
      <c r="L20" s="661">
        <v>0.06130475459148426</v>
      </c>
      <c r="M20" s="661">
        <v>0.07508268377784032</v>
      </c>
      <c r="N20" s="661">
        <v>0.08109856741745623</v>
      </c>
      <c r="O20" s="663">
        <v>0.0866980153812313</v>
      </c>
      <c r="P20" s="671" t="s">
        <v>329</v>
      </c>
      <c r="Q20" s="658"/>
      <c r="R20" s="658"/>
      <c r="S20" s="658"/>
    </row>
    <row r="21" spans="2:16" ht="18" customHeight="1">
      <c r="B21" s="15"/>
      <c r="C21" s="664" t="s">
        <v>212</v>
      </c>
      <c r="D21" s="665">
        <v>0.7224834615102609</v>
      </c>
      <c r="E21" s="666">
        <v>1.021745909858071</v>
      </c>
      <c r="F21" s="666">
        <v>1.2513780629640052</v>
      </c>
      <c r="G21" s="666">
        <v>1.4449669230205218</v>
      </c>
      <c r="H21" s="667">
        <v>1.5326188647871064</v>
      </c>
      <c r="I21" s="666">
        <v>1.6155221325562963</v>
      </c>
      <c r="J21" s="666">
        <v>1.769715828299869</v>
      </c>
      <c r="K21" s="666">
        <v>2.043491819716142</v>
      </c>
      <c r="L21" s="666">
        <v>2.043491819716142</v>
      </c>
      <c r="M21" s="666">
        <v>2.5027561259280104</v>
      </c>
      <c r="N21" s="666">
        <v>2.7032855805818743</v>
      </c>
      <c r="O21" s="668">
        <v>2.8899338460410435</v>
      </c>
      <c r="P21" s="672" t="s">
        <v>124</v>
      </c>
    </row>
    <row r="22" spans="3:16" ht="18" customHeight="1">
      <c r="C22" s="677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76"/>
    </row>
    <row r="23" spans="2:16" ht="18" customHeight="1">
      <c r="B23" s="14"/>
      <c r="C23" s="87" t="s">
        <v>320</v>
      </c>
      <c r="D23" s="5" t="s">
        <v>321</v>
      </c>
      <c r="E23" s="5"/>
      <c r="F23" s="5"/>
      <c r="G23" s="882" t="s">
        <v>328</v>
      </c>
      <c r="H23" s="882"/>
      <c r="I23" s="882"/>
      <c r="J23" s="882"/>
      <c r="K23" s="654"/>
      <c r="L23" s="654"/>
      <c r="M23" s="654"/>
      <c r="N23" s="654"/>
      <c r="O23" s="654"/>
      <c r="P23" s="83"/>
    </row>
    <row r="24" spans="3:16" ht="18" customHeight="1">
      <c r="C24" s="960" t="s">
        <v>322</v>
      </c>
      <c r="D24" s="961"/>
      <c r="E24" s="963">
        <v>0.278</v>
      </c>
      <c r="F24" s="963"/>
      <c r="G24" s="34"/>
      <c r="H24" s="8"/>
      <c r="I24" s="654"/>
      <c r="J24" s="654"/>
      <c r="K24" s="654"/>
      <c r="L24" s="654"/>
      <c r="M24" s="654"/>
      <c r="N24" s="654"/>
      <c r="O24" s="654"/>
      <c r="P24" s="83"/>
    </row>
    <row r="25" spans="3:16" ht="18" customHeight="1">
      <c r="C25" s="957" t="s">
        <v>323</v>
      </c>
      <c r="D25" s="958"/>
      <c r="E25" s="962">
        <v>0.3</v>
      </c>
      <c r="F25" s="962"/>
      <c r="G25" s="303"/>
      <c r="H25" s="8"/>
      <c r="I25" s="654"/>
      <c r="J25" s="654"/>
      <c r="K25" s="654"/>
      <c r="L25" s="654"/>
      <c r="M25" s="654"/>
      <c r="N25" s="654"/>
      <c r="O25" s="654"/>
      <c r="P25" s="83"/>
    </row>
    <row r="26" spans="2:16" ht="18" customHeight="1">
      <c r="B26" s="20"/>
      <c r="C26" s="957" t="s">
        <v>324</v>
      </c>
      <c r="D26" s="958"/>
      <c r="E26" s="962">
        <v>252.52</v>
      </c>
      <c r="F26" s="962"/>
      <c r="G26" s="5" t="s">
        <v>14</v>
      </c>
      <c r="H26" s="626"/>
      <c r="I26" s="654"/>
      <c r="J26" s="654"/>
      <c r="K26" s="654"/>
      <c r="L26" s="654"/>
      <c r="M26" s="654"/>
      <c r="N26" s="654"/>
      <c r="O26" s="654"/>
      <c r="P26" s="83"/>
    </row>
    <row r="27" spans="3:16" ht="18" customHeight="1">
      <c r="C27" s="957" t="s">
        <v>325</v>
      </c>
      <c r="D27" s="958"/>
      <c r="E27" s="959">
        <v>0.0022</v>
      </c>
      <c r="F27" s="959"/>
      <c r="G27" s="652" t="s">
        <v>327</v>
      </c>
      <c r="H27" s="76"/>
      <c r="I27" s="654"/>
      <c r="J27" s="654"/>
      <c r="K27" s="654"/>
      <c r="L27" s="654"/>
      <c r="M27" s="654"/>
      <c r="N27" s="654"/>
      <c r="O27" s="654"/>
      <c r="P27" s="83"/>
    </row>
    <row r="28" spans="3:16" ht="21" customHeight="1">
      <c r="C28" s="670" t="s">
        <v>320</v>
      </c>
      <c r="D28" s="655">
        <v>0.046332369600000006</v>
      </c>
      <c r="E28" s="669" t="s">
        <v>111</v>
      </c>
      <c r="F28" s="303"/>
      <c r="G28" s="882" t="s">
        <v>328</v>
      </c>
      <c r="H28" s="882"/>
      <c r="I28" s="882"/>
      <c r="J28" s="882"/>
      <c r="K28" s="5"/>
      <c r="L28" s="5"/>
      <c r="M28" s="5"/>
      <c r="N28" s="5"/>
      <c r="O28" s="5"/>
      <c r="P28" s="83"/>
    </row>
    <row r="29" spans="3:16" ht="21" customHeight="1">
      <c r="C29" s="8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85"/>
    </row>
  </sheetData>
  <sheetProtection/>
  <mergeCells count="30">
    <mergeCell ref="D3:M3"/>
    <mergeCell ref="D4:M4"/>
    <mergeCell ref="O18:O19"/>
    <mergeCell ref="I18:I19"/>
    <mergeCell ref="D8:M8"/>
    <mergeCell ref="D16:O17"/>
    <mergeCell ref="J18:J19"/>
    <mergeCell ref="K18:K19"/>
    <mergeCell ref="L18:L19"/>
    <mergeCell ref="G18:G19"/>
    <mergeCell ref="E26:F26"/>
    <mergeCell ref="E25:F25"/>
    <mergeCell ref="E24:F24"/>
    <mergeCell ref="D6:M6"/>
    <mergeCell ref="L10:N10"/>
    <mergeCell ref="D18:D19"/>
    <mergeCell ref="M18:M19"/>
    <mergeCell ref="N18:N19"/>
    <mergeCell ref="J10:K10"/>
    <mergeCell ref="H18:H19"/>
    <mergeCell ref="C18:C19"/>
    <mergeCell ref="G23:J23"/>
    <mergeCell ref="C27:D27"/>
    <mergeCell ref="G28:J28"/>
    <mergeCell ref="E27:F27"/>
    <mergeCell ref="C24:D24"/>
    <mergeCell ref="C25:D25"/>
    <mergeCell ref="C26:D26"/>
    <mergeCell ref="E18:E19"/>
    <mergeCell ref="F18:F19"/>
  </mergeCells>
  <printOptions/>
  <pageMargins left="1.1811023622047245" right="0.5905511811023623" top="1.1811023622047245" bottom="0.8661417322834646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C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28125" style="2" customWidth="1"/>
    <col min="20" max="20" width="9.140625" style="2" customWidth="1"/>
    <col min="21" max="21" width="8.851562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">
        <v>50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">
        <v>294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">
        <v>295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 t="e">
        <f>'[4]BASE '!G5</f>
        <v>#REF!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28" t="s">
        <v>296</v>
      </c>
      <c r="E7" s="828"/>
      <c r="F7" s="828"/>
      <c r="G7" s="828"/>
      <c r="H7" s="828"/>
      <c r="I7" s="828"/>
      <c r="J7" s="828"/>
      <c r="K7" s="828"/>
      <c r="L7" s="828"/>
      <c r="M7" s="828"/>
      <c r="N7" s="116"/>
      <c r="O7" s="90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11" t="s">
        <v>297</v>
      </c>
      <c r="E8" s="811"/>
      <c r="F8" s="811"/>
      <c r="G8" s="811"/>
      <c r="H8" s="811"/>
      <c r="I8" s="811"/>
      <c r="J8" s="811"/>
      <c r="K8" s="811"/>
      <c r="L8" s="811"/>
      <c r="M8" s="811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298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0.2275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63" t="s">
        <v>299</v>
      </c>
      <c r="M14" s="963"/>
      <c r="N14" s="963"/>
      <c r="O14" s="83"/>
      <c r="P14" s="299"/>
    </row>
    <row r="15" spans="3:16" ht="15" customHeight="1" thickBot="1">
      <c r="C15" s="87" t="s">
        <v>5</v>
      </c>
      <c r="D15" s="125">
        <v>1.4055</v>
      </c>
      <c r="E15" s="5" t="s">
        <v>7</v>
      </c>
      <c r="F15" s="8"/>
      <c r="G15" s="8"/>
      <c r="H15" s="8"/>
      <c r="I15" s="8"/>
      <c r="J15" s="17" t="s">
        <v>18</v>
      </c>
      <c r="K15" s="215">
        <v>25</v>
      </c>
      <c r="L15" s="8" t="s">
        <v>12</v>
      </c>
      <c r="M15" s="8"/>
      <c r="N15" s="8"/>
      <c r="O15" s="83"/>
      <c r="P15" s="299"/>
    </row>
    <row r="16" spans="3:23" ht="15" customHeight="1">
      <c r="C16" s="87" t="s">
        <v>6</v>
      </c>
      <c r="D16" s="91">
        <f>D14/D15</f>
        <v>0.16186410530060477</v>
      </c>
      <c r="E16" s="8" t="s">
        <v>7</v>
      </c>
      <c r="F16" s="92">
        <f>POWER($D$16,2/3)</f>
        <v>0.29700723863429823</v>
      </c>
      <c r="G16" s="8"/>
      <c r="H16" s="8"/>
      <c r="I16" s="8"/>
      <c r="J16" s="17" t="s">
        <v>17</v>
      </c>
      <c r="K16" s="215">
        <v>5</v>
      </c>
      <c r="L16" s="8" t="s">
        <v>13</v>
      </c>
      <c r="M16" s="8"/>
      <c r="N16" s="8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'[4]BASE '!$D$17</f>
        <v>0.015</v>
      </c>
      <c r="E17" s="5"/>
      <c r="F17" s="5"/>
      <c r="G17" s="5"/>
      <c r="H17" s="5"/>
      <c r="I17" s="5"/>
      <c r="J17" s="17" t="s">
        <v>19</v>
      </c>
      <c r="K17" s="240">
        <v>207.72</v>
      </c>
      <c r="L17" s="8" t="s">
        <v>14</v>
      </c>
      <c r="M17" s="8"/>
      <c r="N17" s="8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616" t="s">
        <v>97</v>
      </c>
      <c r="D18" s="617">
        <f aca="true" t="shared" si="0" ref="D18:O18">D19*$D$14</f>
        <v>0.06370480252494037</v>
      </c>
      <c r="E18" s="617">
        <f t="shared" si="0"/>
        <v>0.10072613693502855</v>
      </c>
      <c r="F18" s="617">
        <f t="shared" si="0"/>
        <v>0.14244826893896692</v>
      </c>
      <c r="G18" s="617">
        <f t="shared" si="0"/>
        <v>0.2014522738700571</v>
      </c>
      <c r="H18" s="617">
        <f t="shared" si="0"/>
        <v>0.24672763925252628</v>
      </c>
      <c r="I18" s="617">
        <f t="shared" si="0"/>
        <v>0.28489653787793384</v>
      </c>
      <c r="J18" s="617">
        <f t="shared" si="0"/>
        <v>0.31852401262470187</v>
      </c>
      <c r="K18" s="617">
        <f t="shared" si="0"/>
        <v>0.348925573643219</v>
      </c>
      <c r="L18" s="617">
        <f t="shared" si="0"/>
        <v>0.37688269430415305</v>
      </c>
      <c r="M18" s="617">
        <f t="shared" si="0"/>
        <v>0.4029045477401142</v>
      </c>
      <c r="N18" s="631">
        <f t="shared" si="0"/>
        <v>0.4273448068169008</v>
      </c>
      <c r="O18" s="618">
        <f t="shared" si="0"/>
        <v>0.45046097859535233</v>
      </c>
      <c r="P18" s="310"/>
      <c r="Q18" s="46" t="s">
        <v>139</v>
      </c>
      <c r="R18" s="311">
        <v>0.4</v>
      </c>
      <c r="S18" s="31"/>
      <c r="T18" s="38" t="s">
        <v>29</v>
      </c>
      <c r="U18" s="311">
        <v>4</v>
      </c>
      <c r="V18" s="5"/>
      <c r="W18" s="45"/>
    </row>
    <row r="19" spans="2:23" ht="12.75">
      <c r="B19" s="15"/>
      <c r="C19" s="619" t="s">
        <v>16</v>
      </c>
      <c r="D19" s="620">
        <f aca="true" t="shared" si="1" ref="D19:O19">($F$16/$D$17)*POWER(D22/100,1/2)</f>
        <v>0.2800211099997379</v>
      </c>
      <c r="E19" s="620">
        <f t="shared" si="1"/>
        <v>0.4427522502638617</v>
      </c>
      <c r="F19" s="620">
        <f t="shared" si="1"/>
        <v>0.62614623709436</v>
      </c>
      <c r="G19" s="620">
        <f t="shared" si="1"/>
        <v>0.8855045005277234</v>
      </c>
      <c r="H19" s="620">
        <f t="shared" si="1"/>
        <v>1.0845170956155001</v>
      </c>
      <c r="I19" s="620">
        <f t="shared" si="1"/>
        <v>1.25229247418872</v>
      </c>
      <c r="J19" s="620">
        <f t="shared" si="1"/>
        <v>1.4001055499986894</v>
      </c>
      <c r="K19" s="620">
        <f t="shared" si="1"/>
        <v>1.5337387852449187</v>
      </c>
      <c r="L19" s="620">
        <f t="shared" si="1"/>
        <v>1.656627227710563</v>
      </c>
      <c r="M19" s="620">
        <f t="shared" si="1"/>
        <v>1.771009001055447</v>
      </c>
      <c r="N19" s="620">
        <f t="shared" si="1"/>
        <v>1.8784387112830803</v>
      </c>
      <c r="O19" s="621">
        <f t="shared" si="1"/>
        <v>1.9800482575619882</v>
      </c>
      <c r="P19" s="312">
        <v>0.4</v>
      </c>
      <c r="Q19" s="46" t="s">
        <v>140</v>
      </c>
      <c r="R19" s="311">
        <v>0.5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0.4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69">
        <v>0.02</v>
      </c>
      <c r="E22" s="967">
        <v>0.05</v>
      </c>
      <c r="F22" s="967">
        <v>0.1</v>
      </c>
      <c r="G22" s="967">
        <v>0.2</v>
      </c>
      <c r="H22" s="967">
        <v>0.3</v>
      </c>
      <c r="I22" s="967">
        <v>0.4</v>
      </c>
      <c r="J22" s="967">
        <v>0.5</v>
      </c>
      <c r="K22" s="967">
        <v>0.6</v>
      </c>
      <c r="L22" s="967">
        <v>0.7</v>
      </c>
      <c r="M22" s="967">
        <v>0.8</v>
      </c>
      <c r="N22" s="967">
        <v>0.9</v>
      </c>
      <c r="O22" s="971">
        <v>1</v>
      </c>
      <c r="P22" s="299"/>
      <c r="Q22" s="47" t="s">
        <v>22</v>
      </c>
      <c r="R22" s="28" t="s">
        <v>301</v>
      </c>
      <c r="S22" s="319" t="s">
        <v>23</v>
      </c>
      <c r="T22" s="627" t="s">
        <v>302</v>
      </c>
      <c r="U22" s="320" t="s">
        <v>97</v>
      </c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70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72"/>
      <c r="P23" s="299"/>
      <c r="Q23" s="49">
        <f>($D$14*$F$16)/$D$17</f>
        <v>4.504609785953524</v>
      </c>
      <c r="R23" s="30" t="s">
        <v>303</v>
      </c>
      <c r="S23" s="78"/>
      <c r="T23" s="628" t="s">
        <v>304</v>
      </c>
      <c r="U23" s="628" t="s">
        <v>305</v>
      </c>
      <c r="V23" s="629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334.29903587733446</v>
      </c>
      <c r="E24" s="65">
        <f aca="true" t="shared" si="3" ref="E24:E33">(($Q$23/R24)/10)*SQRT($E$22)</f>
        <v>528.5731864853611</v>
      </c>
      <c r="F24" s="65">
        <f aca="true" t="shared" si="4" ref="F24:F33">(($Q$23/R24)/10)*SQRT($F$22)</f>
        <v>747.5153690343609</v>
      </c>
      <c r="G24" s="65">
        <f aca="true" t="shared" si="5" ref="G24:G33">(($Q$23/R24)/10)*SQRT($G$22)</f>
        <v>1057.1463729707223</v>
      </c>
      <c r="H24" s="65">
        <f aca="true" t="shared" si="6" ref="H24:H33">(($Q$23/R24)/10)*SQRT($H$22)</f>
        <v>1294.734598606112</v>
      </c>
      <c r="I24" s="65">
        <f aca="true" t="shared" si="7" ref="I24:I33">(($Q$23/R24)/10)*SQRT($I$22)</f>
        <v>1495.0307380687218</v>
      </c>
      <c r="J24" s="65">
        <f aca="true" t="shared" si="8" ref="J24:J33">(($Q$23/R24)/10)*SQRT($J$22)</f>
        <v>1671.4951793866726</v>
      </c>
      <c r="K24" s="65">
        <f aca="true" t="shared" si="9" ref="K24:K33">(($Q$23/R24)/10)*SQRT($K$22)</f>
        <v>1831.0312290224492</v>
      </c>
      <c r="L24" s="65">
        <f aca="true" t="shared" si="10" ref="L24:L33">(($Q$23/R24)/10)*SQRT($L$22)</f>
        <v>1977.7397676635917</v>
      </c>
      <c r="M24" s="65">
        <f aca="true" t="shared" si="11" ref="M24:M33">(($Q$23/R24)/10)*SQRT($M$22)</f>
        <v>2114.2927459414445</v>
      </c>
      <c r="N24" s="65">
        <f aca="true" t="shared" si="12" ref="N24:N33">(($Q$23/R24)/10)*SQRT($N$22)</f>
        <v>2242.5461071030827</v>
      </c>
      <c r="O24" s="66">
        <f aca="true" t="shared" si="13" ref="O24:O33">(($Q$23/R24)/10)*SQRT($O$22)</f>
        <v>2363.8511521298815</v>
      </c>
      <c r="P24" s="299"/>
      <c r="Q24" s="51"/>
      <c r="R24" s="29">
        <f aca="true" t="shared" si="14" ref="R24:R33">((0.278*$K$17*POWER(10,-6)*(($R$18*$U$18)+($R$19*W24)+($R$20*$U$20))))</f>
        <v>0.000190562328</v>
      </c>
      <c r="S24" s="165">
        <f aca="true" t="shared" si="15" ref="S24:S33">($Q$23/R24)/10</f>
        <v>2363.8511521298815</v>
      </c>
      <c r="T24" s="622">
        <v>100</v>
      </c>
      <c r="U24" s="632">
        <f aca="true" t="shared" si="16" ref="U24:U33">R24*T24</f>
        <v>0.019056232800000003</v>
      </c>
      <c r="V24" s="323">
        <f aca="true" t="shared" si="17" ref="V24:V33">C24</f>
        <v>1</v>
      </c>
      <c r="W24" s="324">
        <f aca="true" t="shared" si="18" ref="W24:W33">$Q$17*V24</f>
        <v>1</v>
      </c>
    </row>
    <row r="25" spans="2:23" ht="18" customHeight="1">
      <c r="B25" s="15"/>
      <c r="C25" s="62">
        <v>2</v>
      </c>
      <c r="D25" s="72">
        <f t="shared" si="2"/>
        <v>290.3123206303168</v>
      </c>
      <c r="E25" s="67">
        <f t="shared" si="3"/>
        <v>459.0240830004452</v>
      </c>
      <c r="F25" s="67">
        <f t="shared" si="4"/>
        <v>649.1580836351029</v>
      </c>
      <c r="G25" s="67">
        <f t="shared" si="5"/>
        <v>918.0481660008904</v>
      </c>
      <c r="H25" s="67">
        <f t="shared" si="6"/>
        <v>1124.3747830000448</v>
      </c>
      <c r="I25" s="67">
        <f t="shared" si="7"/>
        <v>1298.3161672702058</v>
      </c>
      <c r="J25" s="67">
        <f t="shared" si="8"/>
        <v>1451.561603151584</v>
      </c>
      <c r="K25" s="67">
        <f t="shared" si="9"/>
        <v>1590.1060673089692</v>
      </c>
      <c r="L25" s="67">
        <f t="shared" si="10"/>
        <v>1717.5108508657506</v>
      </c>
      <c r="M25" s="67">
        <f t="shared" si="11"/>
        <v>1836.0963320017809</v>
      </c>
      <c r="N25" s="67">
        <f t="shared" si="12"/>
        <v>1947.4742509053087</v>
      </c>
      <c r="O25" s="68">
        <f t="shared" si="13"/>
        <v>2052.8181057970023</v>
      </c>
      <c r="P25" s="299"/>
      <c r="Q25" s="51"/>
      <c r="R25" s="30">
        <f t="shared" si="14"/>
        <v>0.00021943540800000003</v>
      </c>
      <c r="S25" s="78">
        <f t="shared" si="15"/>
        <v>2052.8181057970023</v>
      </c>
      <c r="T25" s="623">
        <v>1</v>
      </c>
      <c r="U25" s="632">
        <f t="shared" si="16"/>
        <v>0.00021943540800000003</v>
      </c>
      <c r="V25" s="323">
        <f t="shared" si="17"/>
        <v>2</v>
      </c>
      <c r="W25" s="324">
        <f t="shared" si="18"/>
        <v>2</v>
      </c>
    </row>
    <row r="26" spans="2:23" ht="18" customHeight="1">
      <c r="B26" s="14"/>
      <c r="C26" s="61">
        <v>2.5</v>
      </c>
      <c r="D26" s="72">
        <f t="shared" si="2"/>
        <v>272.3918070111614</v>
      </c>
      <c r="E26" s="67">
        <f t="shared" si="3"/>
        <v>430.6892630621461</v>
      </c>
      <c r="F26" s="67">
        <f t="shared" si="4"/>
        <v>609.0865969909606</v>
      </c>
      <c r="G26" s="67">
        <f t="shared" si="5"/>
        <v>861.3785261242922</v>
      </c>
      <c r="H26" s="67">
        <f t="shared" si="6"/>
        <v>1054.9689321975727</v>
      </c>
      <c r="I26" s="67">
        <f t="shared" si="7"/>
        <v>1218.1731939819213</v>
      </c>
      <c r="J26" s="67">
        <f t="shared" si="8"/>
        <v>1361.959035055807</v>
      </c>
      <c r="K26" s="67">
        <f t="shared" si="9"/>
        <v>1491.9513717960695</v>
      </c>
      <c r="L26" s="67">
        <f t="shared" si="10"/>
        <v>1611.491662540704</v>
      </c>
      <c r="M26" s="67">
        <f t="shared" si="11"/>
        <v>1722.7570522485844</v>
      </c>
      <c r="N26" s="67">
        <f t="shared" si="12"/>
        <v>1827.259790972882</v>
      </c>
      <c r="O26" s="68">
        <f t="shared" si="13"/>
        <v>1926.1009387724957</v>
      </c>
      <c r="P26" s="299"/>
      <c r="Q26" s="51"/>
      <c r="R26" s="30">
        <f t="shared" si="14"/>
        <v>0.00023387194800000006</v>
      </c>
      <c r="S26" s="78">
        <f t="shared" si="15"/>
        <v>1926.1009387724957</v>
      </c>
      <c r="T26" s="623">
        <v>1</v>
      </c>
      <c r="U26" s="632">
        <f t="shared" si="16"/>
        <v>0.00023387194800000006</v>
      </c>
      <c r="V26" s="323">
        <f t="shared" si="17"/>
        <v>2.5</v>
      </c>
      <c r="W26" s="324">
        <f t="shared" si="18"/>
        <v>2.5</v>
      </c>
    </row>
    <row r="27" spans="3:23" ht="18" customHeight="1">
      <c r="C27" s="61">
        <v>3</v>
      </c>
      <c r="D27" s="72">
        <f t="shared" si="2"/>
        <v>256.55507404539617</v>
      </c>
      <c r="E27" s="67">
        <f t="shared" si="3"/>
        <v>405.64918962830035</v>
      </c>
      <c r="F27" s="67">
        <f t="shared" si="4"/>
        <v>573.6745855379978</v>
      </c>
      <c r="G27" s="67">
        <f t="shared" si="5"/>
        <v>811.2983792566007</v>
      </c>
      <c r="H27" s="67">
        <f t="shared" si="6"/>
        <v>993.6335291628301</v>
      </c>
      <c r="I27" s="67">
        <f t="shared" si="7"/>
        <v>1147.3491710759956</v>
      </c>
      <c r="J27" s="67">
        <f t="shared" si="8"/>
        <v>1282.775370226981</v>
      </c>
      <c r="K27" s="67">
        <f t="shared" si="9"/>
        <v>1405.2100129707167</v>
      </c>
      <c r="L27" s="67">
        <f t="shared" si="10"/>
        <v>1517.8002868115934</v>
      </c>
      <c r="M27" s="67">
        <f t="shared" si="11"/>
        <v>1622.5967585132014</v>
      </c>
      <c r="N27" s="67">
        <f t="shared" si="12"/>
        <v>1721.0237566139933</v>
      </c>
      <c r="O27" s="68">
        <f t="shared" si="13"/>
        <v>1814.1183260531645</v>
      </c>
      <c r="P27" s="299"/>
      <c r="Q27" s="51"/>
      <c r="R27" s="30">
        <f t="shared" si="14"/>
        <v>0.00024830848800000004</v>
      </c>
      <c r="S27" s="78">
        <f t="shared" si="15"/>
        <v>1814.1183260531645</v>
      </c>
      <c r="T27" s="623">
        <v>1</v>
      </c>
      <c r="U27" s="632">
        <f t="shared" si="16"/>
        <v>0.00024830848800000004</v>
      </c>
      <c r="V27" s="323">
        <f t="shared" si="17"/>
        <v>3</v>
      </c>
      <c r="W27" s="324">
        <f t="shared" si="18"/>
        <v>3</v>
      </c>
    </row>
    <row r="28" spans="2:23" ht="18" customHeight="1">
      <c r="B28" s="14"/>
      <c r="C28" s="62">
        <v>3.5</v>
      </c>
      <c r="D28" s="72">
        <f t="shared" si="2"/>
        <v>242.45864140553925</v>
      </c>
      <c r="E28" s="67">
        <f t="shared" si="3"/>
        <v>383.3607726157564</v>
      </c>
      <c r="F28" s="67">
        <f t="shared" si="4"/>
        <v>542.1540039150309</v>
      </c>
      <c r="G28" s="67">
        <f t="shared" si="5"/>
        <v>766.7215452315128</v>
      </c>
      <c r="H28" s="67">
        <f t="shared" si="6"/>
        <v>939.0382803077295</v>
      </c>
      <c r="I28" s="67">
        <f t="shared" si="7"/>
        <v>1084.3080078300618</v>
      </c>
      <c r="J28" s="67">
        <f t="shared" si="8"/>
        <v>1212.2932070276963</v>
      </c>
      <c r="K28" s="67">
        <f t="shared" si="9"/>
        <v>1328.0006715986992</v>
      </c>
      <c r="L28" s="67">
        <f t="shared" si="10"/>
        <v>1434.4046666571103</v>
      </c>
      <c r="M28" s="67">
        <f t="shared" si="11"/>
        <v>1533.4430904630256</v>
      </c>
      <c r="N28" s="67">
        <f t="shared" si="12"/>
        <v>1626.4620117450927</v>
      </c>
      <c r="O28" s="68">
        <f t="shared" si="13"/>
        <v>1714.4414949513423</v>
      </c>
      <c r="P28" s="299"/>
      <c r="Q28" s="51"/>
      <c r="R28" s="30">
        <f t="shared" si="14"/>
        <v>0.00026274502800000004</v>
      </c>
      <c r="S28" s="78">
        <f t="shared" si="15"/>
        <v>1714.4414949513423</v>
      </c>
      <c r="T28" s="623">
        <v>1</v>
      </c>
      <c r="U28" s="632">
        <f t="shared" si="16"/>
        <v>0.00026274502800000004</v>
      </c>
      <c r="V28" s="323">
        <f t="shared" si="17"/>
        <v>3.5</v>
      </c>
      <c r="W28" s="324">
        <f t="shared" si="18"/>
        <v>3.5</v>
      </c>
    </row>
    <row r="29" spans="3:23" ht="18" customHeight="1">
      <c r="C29" s="61">
        <v>4</v>
      </c>
      <c r="D29" s="72">
        <f t="shared" si="2"/>
        <v>229.8305871656674</v>
      </c>
      <c r="E29" s="67">
        <f t="shared" si="3"/>
        <v>363.39406570868573</v>
      </c>
      <c r="F29" s="67">
        <f t="shared" si="4"/>
        <v>513.9168162111231</v>
      </c>
      <c r="G29" s="67">
        <f t="shared" si="5"/>
        <v>726.7881314173715</v>
      </c>
      <c r="H29" s="67">
        <f t="shared" si="6"/>
        <v>890.1300365417019</v>
      </c>
      <c r="I29" s="67">
        <f t="shared" si="7"/>
        <v>1027.8336324222462</v>
      </c>
      <c r="J29" s="67">
        <f t="shared" si="8"/>
        <v>1149.1529358283371</v>
      </c>
      <c r="K29" s="67">
        <f t="shared" si="9"/>
        <v>1258.8339699529336</v>
      </c>
      <c r="L29" s="67">
        <f t="shared" si="10"/>
        <v>1359.696090268719</v>
      </c>
      <c r="M29" s="67">
        <f t="shared" si="11"/>
        <v>1453.576262834743</v>
      </c>
      <c r="N29" s="67">
        <f t="shared" si="12"/>
        <v>1541.7504486333692</v>
      </c>
      <c r="O29" s="68">
        <f t="shared" si="13"/>
        <v>1625.1476670892932</v>
      </c>
      <c r="P29" s="299"/>
      <c r="Q29" s="51"/>
      <c r="R29" s="30">
        <f t="shared" si="14"/>
        <v>0.00027718156800000005</v>
      </c>
      <c r="S29" s="78">
        <f t="shared" si="15"/>
        <v>1625.1476670892932</v>
      </c>
      <c r="T29" s="623">
        <v>1</v>
      </c>
      <c r="U29" s="632">
        <f t="shared" si="16"/>
        <v>0.00027718156800000005</v>
      </c>
      <c r="V29" s="323">
        <f t="shared" si="17"/>
        <v>4</v>
      </c>
      <c r="W29" s="324">
        <f t="shared" si="18"/>
        <v>4</v>
      </c>
    </row>
    <row r="30" spans="3:23" ht="18" customHeight="1">
      <c r="C30" s="61">
        <v>5</v>
      </c>
      <c r="D30" s="72">
        <f t="shared" si="2"/>
        <v>208.14845630098185</v>
      </c>
      <c r="E30" s="67">
        <f t="shared" si="3"/>
        <v>329.1116066795645</v>
      </c>
      <c r="F30" s="67">
        <f t="shared" si="4"/>
        <v>465.4340977006398</v>
      </c>
      <c r="G30" s="67">
        <f t="shared" si="5"/>
        <v>658.223213359129</v>
      </c>
      <c r="H30" s="67">
        <f t="shared" si="6"/>
        <v>806.1555047924849</v>
      </c>
      <c r="I30" s="67">
        <f t="shared" si="7"/>
        <v>930.8681954012796</v>
      </c>
      <c r="J30" s="67">
        <f t="shared" si="8"/>
        <v>1040.7422815049092</v>
      </c>
      <c r="K30" s="67">
        <f t="shared" si="9"/>
        <v>1140.076048259261</v>
      </c>
      <c r="L30" s="67">
        <f t="shared" si="10"/>
        <v>1231.4228742056325</v>
      </c>
      <c r="M30" s="67">
        <f t="shared" si="11"/>
        <v>1316.446426718258</v>
      </c>
      <c r="N30" s="67">
        <f t="shared" si="12"/>
        <v>1396.3022931019195</v>
      </c>
      <c r="O30" s="68">
        <f t="shared" si="13"/>
        <v>1471.8318494393602</v>
      </c>
      <c r="P30" s="299"/>
      <c r="Q30" s="51"/>
      <c r="R30" s="30">
        <f t="shared" si="14"/>
        <v>0.000306054648</v>
      </c>
      <c r="S30" s="78">
        <f t="shared" si="15"/>
        <v>1471.8318494393602</v>
      </c>
      <c r="T30" s="623">
        <v>1</v>
      </c>
      <c r="U30" s="632">
        <f t="shared" si="16"/>
        <v>0.000306054648</v>
      </c>
      <c r="V30" s="323">
        <f t="shared" si="17"/>
        <v>5</v>
      </c>
      <c r="W30" s="324">
        <f t="shared" si="18"/>
        <v>5</v>
      </c>
    </row>
    <row r="31" spans="3:23" ht="18" customHeight="1">
      <c r="C31" s="62">
        <v>6</v>
      </c>
      <c r="D31" s="72">
        <f t="shared" si="2"/>
        <v>190.20462386124203</v>
      </c>
      <c r="E31" s="67">
        <f t="shared" si="3"/>
        <v>300.73991644856756</v>
      </c>
      <c r="F31" s="67">
        <f t="shared" si="4"/>
        <v>425.31046858851573</v>
      </c>
      <c r="G31" s="67">
        <f t="shared" si="5"/>
        <v>601.4798328971351</v>
      </c>
      <c r="H31" s="67">
        <f t="shared" si="6"/>
        <v>736.6593405862362</v>
      </c>
      <c r="I31" s="67">
        <f t="shared" si="7"/>
        <v>850.6209371770315</v>
      </c>
      <c r="J31" s="67">
        <f t="shared" si="8"/>
        <v>951.0231193062102</v>
      </c>
      <c r="K31" s="67">
        <f t="shared" si="9"/>
        <v>1041.7936303058764</v>
      </c>
      <c r="L31" s="67">
        <f t="shared" si="10"/>
        <v>1125.265729877561</v>
      </c>
      <c r="M31" s="67">
        <f t="shared" si="11"/>
        <v>1202.9596657942702</v>
      </c>
      <c r="N31" s="67">
        <f t="shared" si="12"/>
        <v>1275.9314057655472</v>
      </c>
      <c r="O31" s="68">
        <f t="shared" si="13"/>
        <v>1344.9497934532085</v>
      </c>
      <c r="P31" s="299"/>
      <c r="Q31" s="51"/>
      <c r="R31" s="30">
        <f t="shared" si="14"/>
        <v>0.000334927728</v>
      </c>
      <c r="S31" s="78">
        <f t="shared" si="15"/>
        <v>1344.9497934532085</v>
      </c>
      <c r="T31" s="623">
        <v>1</v>
      </c>
      <c r="U31" s="632">
        <f t="shared" si="16"/>
        <v>0.000334927728</v>
      </c>
      <c r="V31" s="323">
        <f t="shared" si="17"/>
        <v>6</v>
      </c>
      <c r="W31" s="324">
        <f t="shared" si="18"/>
        <v>6</v>
      </c>
    </row>
    <row r="32" spans="2:23" ht="18" customHeight="1">
      <c r="B32" s="20"/>
      <c r="C32" s="61">
        <v>7</v>
      </c>
      <c r="D32" s="72">
        <f t="shared" si="2"/>
        <v>175.1090187928895</v>
      </c>
      <c r="E32" s="67">
        <f t="shared" si="3"/>
        <v>276.8716691113797</v>
      </c>
      <c r="F32" s="67">
        <f t="shared" si="4"/>
        <v>391.5556694941891</v>
      </c>
      <c r="G32" s="67">
        <f t="shared" si="5"/>
        <v>553.7433382227593</v>
      </c>
      <c r="H32" s="67">
        <f t="shared" si="6"/>
        <v>678.1943135555825</v>
      </c>
      <c r="I32" s="67">
        <f t="shared" si="7"/>
        <v>783.1113389883782</v>
      </c>
      <c r="J32" s="67">
        <f t="shared" si="8"/>
        <v>875.5450939644476</v>
      </c>
      <c r="K32" s="67">
        <f t="shared" si="9"/>
        <v>959.1115961546163</v>
      </c>
      <c r="L32" s="67">
        <f t="shared" si="10"/>
        <v>1035.9589259190243</v>
      </c>
      <c r="M32" s="67">
        <f t="shared" si="11"/>
        <v>1107.4866764455187</v>
      </c>
      <c r="N32" s="67">
        <f t="shared" si="12"/>
        <v>1174.6670084825673</v>
      </c>
      <c r="O32" s="68">
        <f t="shared" si="13"/>
        <v>1238.2077463537476</v>
      </c>
      <c r="P32" s="299"/>
      <c r="Q32" s="51"/>
      <c r="R32" s="30">
        <f t="shared" si="14"/>
        <v>0.00036380080800000003</v>
      </c>
      <c r="S32" s="78">
        <f t="shared" si="15"/>
        <v>1238.2077463537476</v>
      </c>
      <c r="T32" s="623">
        <v>1</v>
      </c>
      <c r="U32" s="632">
        <f t="shared" si="16"/>
        <v>0.00036380080800000003</v>
      </c>
      <c r="V32" s="323">
        <f t="shared" si="17"/>
        <v>7</v>
      </c>
      <c r="W32" s="324">
        <f t="shared" si="18"/>
        <v>7</v>
      </c>
    </row>
    <row r="33" spans="3:23" ht="18" customHeight="1" thickBot="1">
      <c r="C33" s="63">
        <v>8</v>
      </c>
      <c r="D33" s="73">
        <f t="shared" si="2"/>
        <v>162.2333556463535</v>
      </c>
      <c r="E33" s="69">
        <f t="shared" si="3"/>
        <v>256.51345814730763</v>
      </c>
      <c r="F33" s="69">
        <f t="shared" si="4"/>
        <v>362.7648114431458</v>
      </c>
      <c r="G33" s="69">
        <f t="shared" si="5"/>
        <v>513.0269162946153</v>
      </c>
      <c r="H33" s="69">
        <f t="shared" si="6"/>
        <v>628.3270846176721</v>
      </c>
      <c r="I33" s="69">
        <f t="shared" si="7"/>
        <v>725.5296228862916</v>
      </c>
      <c r="J33" s="69">
        <f t="shared" si="8"/>
        <v>811.1667782317676</v>
      </c>
      <c r="K33" s="69">
        <f t="shared" si="9"/>
        <v>888.5886846726593</v>
      </c>
      <c r="L33" s="69">
        <f t="shared" si="10"/>
        <v>959.7854754838019</v>
      </c>
      <c r="M33" s="69">
        <f t="shared" si="11"/>
        <v>1026.0538325892305</v>
      </c>
      <c r="N33" s="69">
        <f t="shared" si="12"/>
        <v>1088.2944343294373</v>
      </c>
      <c r="O33" s="70">
        <f t="shared" si="13"/>
        <v>1147.1630591218543</v>
      </c>
      <c r="P33" s="299"/>
      <c r="Q33" s="53"/>
      <c r="R33" s="54">
        <f t="shared" si="14"/>
        <v>0.000392673888</v>
      </c>
      <c r="S33" s="106">
        <f t="shared" si="15"/>
        <v>1147.1630591218543</v>
      </c>
      <c r="T33" s="624">
        <v>1</v>
      </c>
      <c r="U33" s="633">
        <f t="shared" si="16"/>
        <v>0.000392673888</v>
      </c>
      <c r="V33" s="325">
        <f t="shared" si="17"/>
        <v>8</v>
      </c>
      <c r="W33" s="326">
        <f t="shared" si="18"/>
        <v>8</v>
      </c>
    </row>
    <row r="34" spans="2:21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  <c r="Q34" s="2">
        <f>SQRT(N22/100)</f>
        <v>0.09486832980505139</v>
      </c>
      <c r="U34" s="625"/>
    </row>
    <row r="35" spans="3:17" ht="18" customHeight="1">
      <c r="C35" s="82"/>
      <c r="D35" s="6" t="s">
        <v>31</v>
      </c>
      <c r="E35" s="920">
        <f>Q40</f>
        <v>7800.708802028608</v>
      </c>
      <c r="F35" s="920"/>
      <c r="G35" s="3" t="s">
        <v>33</v>
      </c>
      <c r="H35" s="183" t="s">
        <v>280</v>
      </c>
      <c r="I35" s="606">
        <f>R18</f>
        <v>0.4</v>
      </c>
      <c r="J35" s="3" t="s">
        <v>281</v>
      </c>
      <c r="K35" s="606">
        <f>R19</f>
        <v>0.5</v>
      </c>
      <c r="L35" s="3" t="s">
        <v>282</v>
      </c>
      <c r="M35" s="606">
        <f>R20</f>
        <v>0.4</v>
      </c>
      <c r="N35" s="3" t="s">
        <v>283</v>
      </c>
      <c r="O35" s="83" t="s">
        <v>284</v>
      </c>
      <c r="P35" s="299"/>
      <c r="Q35" s="630">
        <f>Q38*Q34</f>
        <v>0.42734480681690085</v>
      </c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4.504609785953524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5.7746160000000003E-05</v>
      </c>
      <c r="T39" s="1"/>
      <c r="U39" s="1"/>
    </row>
    <row r="40" spans="3:21" ht="15" customHeight="1">
      <c r="C40" s="82"/>
      <c r="D40" s="6" t="s">
        <v>29</v>
      </c>
      <c r="E40" s="5" t="s">
        <v>300</v>
      </c>
      <c r="F40" s="5"/>
      <c r="G40" s="5"/>
      <c r="H40" s="5"/>
      <c r="I40" s="5"/>
      <c r="J40" s="5"/>
      <c r="K40" s="5"/>
      <c r="L40" s="130">
        <f>U18</f>
        <v>4</v>
      </c>
      <c r="M40" s="5"/>
      <c r="N40" s="5"/>
      <c r="O40" s="83"/>
      <c r="P40" s="299"/>
      <c r="Q40" s="102">
        <f>(Q38/Q39)/10</f>
        <v>7800.708802028608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25">
    <mergeCell ref="G4:O4"/>
    <mergeCell ref="O22:O23"/>
    <mergeCell ref="C2:F5"/>
    <mergeCell ref="G5:O5"/>
    <mergeCell ref="D10:M10"/>
    <mergeCell ref="D7:M7"/>
    <mergeCell ref="H22:H23"/>
    <mergeCell ref="G2:O2"/>
    <mergeCell ref="G3:O3"/>
    <mergeCell ref="D12:M12"/>
    <mergeCell ref="E35:F35"/>
    <mergeCell ref="N22:N23"/>
    <mergeCell ref="L14:N14"/>
    <mergeCell ref="D20:O21"/>
    <mergeCell ref="J22:J23"/>
    <mergeCell ref="K22:K23"/>
    <mergeCell ref="D8:M8"/>
    <mergeCell ref="F22:F23"/>
    <mergeCell ref="L22:L23"/>
    <mergeCell ref="G22:G23"/>
    <mergeCell ref="M22:M23"/>
    <mergeCell ref="D22:D23"/>
    <mergeCell ref="E22:E23"/>
    <mergeCell ref="J14:K14"/>
    <mergeCell ref="I22:I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3"/>
  <rowBreaks count="1" manualBreakCount="1">
    <brk id="44" max="255" man="1"/>
  </rowBreaks>
  <legacyDrawing r:id="rId2"/>
  <oleObjects>
    <oleObject progId="Equation.3" shapeId="960713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B1:W40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19.5" customHeight="1">
      <c r="C2" s="878"/>
      <c r="D2" s="879"/>
      <c r="E2" s="879"/>
      <c r="F2" s="880"/>
      <c r="G2" s="861" t="str">
        <f>'[5]BASE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19.5" customHeight="1">
      <c r="C3" s="881"/>
      <c r="D3" s="882"/>
      <c r="E3" s="882"/>
      <c r="F3" s="883"/>
      <c r="G3" s="864" t="str">
        <f>'[4]BASE '!G3</f>
        <v>Rodovia: MG-424</v>
      </c>
      <c r="H3" s="865"/>
      <c r="I3" s="865"/>
      <c r="J3" s="865"/>
      <c r="K3" s="865"/>
      <c r="L3" s="865"/>
      <c r="M3" s="865"/>
      <c r="N3" s="865"/>
      <c r="O3" s="866"/>
    </row>
    <row r="4" spans="3:18" ht="19.5" customHeight="1">
      <c r="C4" s="881"/>
      <c r="D4" s="882"/>
      <c r="E4" s="882"/>
      <c r="F4" s="883"/>
      <c r="G4" s="864" t="str">
        <f>'[4]BASE '!G4</f>
        <v>Trecho: Entroncamento MG-010  -  Sete Lagoas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19.5" customHeight="1">
      <c r="C5" s="884"/>
      <c r="D5" s="885"/>
      <c r="E5" s="885"/>
      <c r="F5" s="886"/>
      <c r="G5" s="908"/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28" t="s">
        <v>49</v>
      </c>
      <c r="E7" s="828"/>
      <c r="F7" s="828"/>
      <c r="G7" s="828"/>
      <c r="H7" s="828"/>
      <c r="I7" s="828"/>
      <c r="J7" s="828"/>
      <c r="K7" s="828"/>
      <c r="L7" s="828"/>
      <c r="M7" s="828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2.75">
      <c r="C9" s="82"/>
      <c r="D9" s="888" t="s">
        <v>274</v>
      </c>
      <c r="E9" s="888"/>
      <c r="F9" s="888"/>
      <c r="G9" s="888"/>
      <c r="H9" s="888"/>
      <c r="I9" s="888"/>
      <c r="J9" s="888"/>
      <c r="K9" s="888"/>
      <c r="L9" s="888"/>
      <c r="M9" s="888"/>
      <c r="N9" s="5"/>
      <c r="O9" s="83"/>
    </row>
    <row r="10" spans="3:15" ht="12.75">
      <c r="C10" s="82"/>
      <c r="M10" s="5"/>
      <c r="N10" s="5"/>
      <c r="O10" s="83"/>
    </row>
    <row r="11" spans="3:15" ht="12.75">
      <c r="C11" s="82"/>
      <c r="D11" s="921" t="s">
        <v>24</v>
      </c>
      <c r="E11" s="921"/>
      <c r="F11" s="921"/>
      <c r="G11" s="921"/>
      <c r="H11" s="921"/>
      <c r="I11" s="921"/>
      <c r="J11" s="921"/>
      <c r="K11" s="921"/>
      <c r="L11" s="921"/>
      <c r="M11" s="921"/>
      <c r="N11" s="5"/>
      <c r="O11" s="83"/>
    </row>
    <row r="12" spans="3:15" ht="19.5" customHeight="1">
      <c r="C12" s="87"/>
      <c r="D12" s="13"/>
      <c r="E12" s="13"/>
      <c r="F12" s="13"/>
      <c r="G12" s="13"/>
      <c r="H12" s="13"/>
      <c r="I12" s="13"/>
      <c r="O12" s="83"/>
    </row>
    <row r="13" spans="3:15" ht="15" customHeight="1">
      <c r="C13" s="87" t="s">
        <v>4</v>
      </c>
      <c r="D13" s="125">
        <v>0.0375</v>
      </c>
      <c r="E13" s="5" t="s">
        <v>8</v>
      </c>
      <c r="F13" s="12"/>
      <c r="G13" s="12"/>
      <c r="H13" s="12"/>
      <c r="I13" s="12"/>
      <c r="J13" s="810" t="s">
        <v>51</v>
      </c>
      <c r="K13" s="810"/>
      <c r="L13" s="922" t="str">
        <f>'[4]BASE '!$L$14</f>
        <v>Sete Lagoas - MG</v>
      </c>
      <c r="M13" s="922"/>
      <c r="N13" s="922"/>
      <c r="O13" s="83"/>
    </row>
    <row r="14" spans="3:15" ht="15" customHeight="1">
      <c r="C14" s="87" t="s">
        <v>5</v>
      </c>
      <c r="D14" s="125">
        <v>0.636</v>
      </c>
      <c r="E14" s="5" t="s">
        <v>7</v>
      </c>
      <c r="F14" s="8"/>
      <c r="G14" s="8"/>
      <c r="H14" s="8"/>
      <c r="I14" s="8"/>
      <c r="J14" s="6" t="s">
        <v>18</v>
      </c>
      <c r="K14" s="7">
        <f>'[4]BASE '!K15</f>
        <v>10</v>
      </c>
      <c r="L14" s="5" t="s">
        <v>12</v>
      </c>
      <c r="M14" s="5"/>
      <c r="N14" s="5"/>
      <c r="O14" s="83"/>
    </row>
    <row r="15" spans="3:15" ht="15" customHeight="1">
      <c r="C15" s="87" t="s">
        <v>6</v>
      </c>
      <c r="D15" s="91">
        <f>D13/D14</f>
        <v>0.05896226415094339</v>
      </c>
      <c r="E15" s="8" t="s">
        <v>7</v>
      </c>
      <c r="F15" s="92">
        <f>POWER($D$15,2/3)</f>
        <v>0.15148958227741433</v>
      </c>
      <c r="G15" s="8"/>
      <c r="H15" s="8"/>
      <c r="I15" s="8"/>
      <c r="J15" s="6" t="s">
        <v>17</v>
      </c>
      <c r="K15" s="7">
        <f>'[4]BASE '!K16</f>
        <v>5</v>
      </c>
      <c r="L15" s="5" t="s">
        <v>13</v>
      </c>
      <c r="M15" s="5"/>
      <c r="N15" s="5"/>
      <c r="O15" s="83"/>
    </row>
    <row r="16" spans="3:15" ht="15" customHeight="1">
      <c r="C16" s="87" t="s">
        <v>9</v>
      </c>
      <c r="D16" s="91">
        <f>'[5]BASE '!D17</f>
        <v>0.015</v>
      </c>
      <c r="E16" s="5"/>
      <c r="F16" s="5"/>
      <c r="G16" s="5"/>
      <c r="H16" s="5"/>
      <c r="I16" s="5"/>
      <c r="J16" s="6" t="s">
        <v>19</v>
      </c>
      <c r="K16" s="10">
        <f>'[4]BASE '!K17</f>
        <v>148.68</v>
      </c>
      <c r="L16" s="8" t="s">
        <v>14</v>
      </c>
      <c r="M16" s="5"/>
      <c r="N16" s="5"/>
      <c r="O16" s="83"/>
    </row>
    <row r="17" spans="2:23" ht="18" customHeight="1">
      <c r="B17" s="15"/>
      <c r="C17" s="38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383"/>
      <c r="P17" s="19">
        <v>0.4</v>
      </c>
      <c r="Q17" s="16"/>
      <c r="R17" s="167"/>
      <c r="S17" s="167"/>
      <c r="T17" s="169"/>
      <c r="U17" s="3"/>
      <c r="V17" s="5"/>
      <c r="W17" s="5"/>
    </row>
    <row r="18" spans="2:23" ht="12.75">
      <c r="B18" s="22"/>
      <c r="C18" s="23"/>
      <c r="D18" s="830" t="s">
        <v>20</v>
      </c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2"/>
      <c r="P18" s="8"/>
      <c r="Q18" s="38" t="s">
        <v>10</v>
      </c>
      <c r="R18" s="124">
        <v>0.9</v>
      </c>
      <c r="S18" s="31"/>
      <c r="T18" s="38" t="s">
        <v>11</v>
      </c>
      <c r="U18" s="124">
        <v>6.1</v>
      </c>
      <c r="V18" s="5"/>
      <c r="W18" s="5"/>
    </row>
    <row r="19" spans="2:23" ht="12.75">
      <c r="B19" s="6"/>
      <c r="C19" s="938" t="s">
        <v>39</v>
      </c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7"/>
      <c r="Q19" s="38" t="s">
        <v>10</v>
      </c>
      <c r="R19" s="124">
        <v>0.9</v>
      </c>
      <c r="S19" s="31"/>
      <c r="T19" s="38" t="s">
        <v>210</v>
      </c>
      <c r="U19" s="124">
        <v>12.2</v>
      </c>
      <c r="V19" s="5"/>
      <c r="W19" s="5"/>
    </row>
    <row r="20" spans="2:23" ht="12.75">
      <c r="B20" s="7"/>
      <c r="C20" s="938"/>
      <c r="D20" s="939">
        <v>0.5</v>
      </c>
      <c r="E20" s="975">
        <v>1</v>
      </c>
      <c r="F20" s="975">
        <v>1.5</v>
      </c>
      <c r="G20" s="975">
        <v>2</v>
      </c>
      <c r="H20" s="975">
        <v>2.5</v>
      </c>
      <c r="I20" s="975">
        <v>3</v>
      </c>
      <c r="J20" s="975">
        <v>3.5</v>
      </c>
      <c r="K20" s="975">
        <v>4</v>
      </c>
      <c r="L20" s="975">
        <v>4.5</v>
      </c>
      <c r="M20" s="975">
        <v>5</v>
      </c>
      <c r="N20" s="975">
        <v>6</v>
      </c>
      <c r="O20" s="973">
        <v>7</v>
      </c>
      <c r="Q20" s="38" t="s">
        <v>10</v>
      </c>
      <c r="R20" s="124">
        <v>0.9</v>
      </c>
      <c r="S20" s="5"/>
      <c r="T20" s="38" t="s">
        <v>275</v>
      </c>
      <c r="U20" s="124">
        <v>8.7</v>
      </c>
      <c r="V20" s="5"/>
      <c r="W20" s="5"/>
    </row>
    <row r="21" spans="2:23" ht="12.75">
      <c r="B21" s="22"/>
      <c r="C21" s="25"/>
      <c r="D21" s="940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4"/>
      <c r="Q21" s="38" t="s">
        <v>10</v>
      </c>
      <c r="R21" s="124">
        <v>0.9</v>
      </c>
      <c r="S21" s="5"/>
      <c r="T21" s="38" t="s">
        <v>276</v>
      </c>
      <c r="U21" s="124">
        <v>14.8</v>
      </c>
      <c r="V21" s="5"/>
      <c r="W21" s="5"/>
    </row>
    <row r="22" spans="2:23" ht="21" customHeight="1">
      <c r="B22" s="22"/>
      <c r="C22" s="941" t="s">
        <v>40</v>
      </c>
      <c r="D22" s="943">
        <f aca="true" t="shared" si="0" ref="D22:O22">(($Q$23/$R$24)/10)*SQRT(D20)</f>
        <v>118.01523787505883</v>
      </c>
      <c r="E22" s="945">
        <f t="shared" si="0"/>
        <v>166.89874996959514</v>
      </c>
      <c r="F22" s="945">
        <f t="shared" si="0"/>
        <v>204.40838806692875</v>
      </c>
      <c r="G22" s="945">
        <f t="shared" si="0"/>
        <v>236.03047575011766</v>
      </c>
      <c r="H22" s="945">
        <f t="shared" si="0"/>
        <v>263.8900942694394</v>
      </c>
      <c r="I22" s="945">
        <f t="shared" si="0"/>
        <v>289.0771146670734</v>
      </c>
      <c r="J22" s="945">
        <f t="shared" si="0"/>
        <v>312.2389703335364</v>
      </c>
      <c r="K22" s="945">
        <f t="shared" si="0"/>
        <v>333.7974999391903</v>
      </c>
      <c r="L22" s="945">
        <f t="shared" si="0"/>
        <v>354.0457136251764</v>
      </c>
      <c r="M22" s="945">
        <f t="shared" si="0"/>
        <v>373.19695029175574</v>
      </c>
      <c r="N22" s="945">
        <f t="shared" si="0"/>
        <v>408.8167761338575</v>
      </c>
      <c r="O22" s="947">
        <f t="shared" si="0"/>
        <v>441.57258654709767</v>
      </c>
      <c r="Q22" s="11" t="s">
        <v>22</v>
      </c>
      <c r="R22" s="11" t="s">
        <v>21</v>
      </c>
      <c r="S22" s="11" t="s">
        <v>23</v>
      </c>
      <c r="T22" s="114"/>
      <c r="U22" s="7"/>
      <c r="V22" s="7"/>
      <c r="W22" s="7"/>
    </row>
    <row r="23" spans="2:23" ht="21" customHeight="1">
      <c r="B23" s="22"/>
      <c r="C23" s="942"/>
      <c r="D23" s="944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8"/>
      <c r="Q23" s="590">
        <f>($D$13*$F$15)/$D$16</f>
        <v>0.3787239556935358</v>
      </c>
      <c r="R23" s="30"/>
      <c r="S23" s="26"/>
      <c r="T23" s="114"/>
      <c r="U23" s="3"/>
      <c r="V23" s="3"/>
      <c r="W23" s="3"/>
    </row>
    <row r="24" spans="3:23" ht="21" customHeight="1">
      <c r="C24" s="949" t="s">
        <v>41</v>
      </c>
      <c r="D24" s="943">
        <f aca="true" t="shared" si="1" ref="D24:O24">(($Q$23/$R$25)/10)*SQRT(D20)</f>
        <v>59.007618937529415</v>
      </c>
      <c r="E24" s="945">
        <f t="shared" si="1"/>
        <v>83.44937498479757</v>
      </c>
      <c r="F24" s="945">
        <f t="shared" si="1"/>
        <v>102.20419403346438</v>
      </c>
      <c r="G24" s="945">
        <f t="shared" si="1"/>
        <v>118.01523787505883</v>
      </c>
      <c r="H24" s="945">
        <f t="shared" si="1"/>
        <v>131.9450471347197</v>
      </c>
      <c r="I24" s="945">
        <f t="shared" si="1"/>
        <v>144.5385573335367</v>
      </c>
      <c r="J24" s="945">
        <f t="shared" si="1"/>
        <v>156.1194851667682</v>
      </c>
      <c r="K24" s="945">
        <f t="shared" si="1"/>
        <v>166.89874996959514</v>
      </c>
      <c r="L24" s="945">
        <f t="shared" si="1"/>
        <v>177.0228568125882</v>
      </c>
      <c r="M24" s="945">
        <f t="shared" si="1"/>
        <v>186.59847514587787</v>
      </c>
      <c r="N24" s="945">
        <f t="shared" si="1"/>
        <v>204.40838806692875</v>
      </c>
      <c r="O24" s="947">
        <f t="shared" si="1"/>
        <v>220.78629327354884</v>
      </c>
      <c r="Q24" s="3"/>
      <c r="R24" s="30">
        <f>((0.278*$K$16*POWER(10,-6)*(($R$18*$U$18))))</f>
        <v>0.00022691838960000002</v>
      </c>
      <c r="S24" s="26">
        <f>($Q$23/R24)/10</f>
        <v>166.89874996959514</v>
      </c>
      <c r="T24" s="3"/>
      <c r="U24" s="10"/>
      <c r="V24" s="52"/>
      <c r="W24" s="591"/>
    </row>
    <row r="25" spans="3:23" ht="18" customHeight="1">
      <c r="C25" s="950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3"/>
      <c r="R25" s="30">
        <f>((0.278*$K$16*POWER(10,-6)*(($R$19*$U$19))))</f>
        <v>0.00045383677920000004</v>
      </c>
      <c r="S25" s="26">
        <f>($Q$23/R25)/10</f>
        <v>83.44937498479757</v>
      </c>
      <c r="T25" s="3"/>
      <c r="U25" s="10"/>
      <c r="V25" s="52"/>
      <c r="W25" s="591"/>
    </row>
    <row r="26" spans="3:20" s="592" customFormat="1" ht="42" customHeight="1">
      <c r="C26" s="593" t="s">
        <v>285</v>
      </c>
      <c r="D26" s="594">
        <f aca="true" t="shared" si="2" ref="D26:O26">(($Q$23/$R$26)/10)*SQRT(D20)</f>
        <v>82.74631621124814</v>
      </c>
      <c r="E26" s="595">
        <f t="shared" si="2"/>
        <v>117.02096262235982</v>
      </c>
      <c r="F26" s="595">
        <f t="shared" si="2"/>
        <v>143.320823817042</v>
      </c>
      <c r="G26" s="595">
        <f t="shared" si="2"/>
        <v>165.49263242249629</v>
      </c>
      <c r="H26" s="595">
        <f t="shared" si="2"/>
        <v>185.0263879360437</v>
      </c>
      <c r="I26" s="595">
        <f t="shared" si="2"/>
        <v>202.68625281254572</v>
      </c>
      <c r="J26" s="595">
        <f t="shared" si="2"/>
        <v>218.92617460167494</v>
      </c>
      <c r="K26" s="595">
        <f t="shared" si="2"/>
        <v>234.04192524471964</v>
      </c>
      <c r="L26" s="595">
        <f t="shared" si="2"/>
        <v>248.2389486337444</v>
      </c>
      <c r="M26" s="595">
        <f t="shared" si="2"/>
        <v>261.6668272160586</v>
      </c>
      <c r="N26" s="595">
        <f t="shared" si="2"/>
        <v>286.641647634084</v>
      </c>
      <c r="O26" s="596">
        <f t="shared" si="2"/>
        <v>309.608365280149</v>
      </c>
      <c r="R26" s="597">
        <f>((0.278*$K$16*POWER(10,-6)*(($R$20*$U$20))))</f>
        <v>0.00032363770319999996</v>
      </c>
      <c r="S26" s="598">
        <f>($Q$23/R26)/10</f>
        <v>117.02096262235982</v>
      </c>
      <c r="T26" s="3"/>
    </row>
    <row r="27" spans="3:20" s="592" customFormat="1" ht="42" customHeight="1">
      <c r="C27" s="593" t="s">
        <v>286</v>
      </c>
      <c r="D27" s="594">
        <f aca="true" t="shared" si="3" ref="D27:O27">(($Q$23/$R$27)/10)*SQRT(D20)</f>
        <v>48.641415610666144</v>
      </c>
      <c r="E27" s="595">
        <f t="shared" si="3"/>
        <v>68.78934964963044</v>
      </c>
      <c r="F27" s="595">
        <f t="shared" si="3"/>
        <v>84.24940318974768</v>
      </c>
      <c r="G27" s="595">
        <f t="shared" si="3"/>
        <v>97.28283122133229</v>
      </c>
      <c r="H27" s="595">
        <f t="shared" si="3"/>
        <v>108.76551182726894</v>
      </c>
      <c r="I27" s="595">
        <f t="shared" si="3"/>
        <v>119.14664861278025</v>
      </c>
      <c r="J27" s="595">
        <f t="shared" si="3"/>
        <v>128.69308912395758</v>
      </c>
      <c r="K27" s="595">
        <f t="shared" si="3"/>
        <v>137.57869929926088</v>
      </c>
      <c r="L27" s="595">
        <f t="shared" si="3"/>
        <v>145.9242468319984</v>
      </c>
      <c r="M27" s="595">
        <f t="shared" si="3"/>
        <v>153.817661944575</v>
      </c>
      <c r="N27" s="595">
        <f t="shared" si="3"/>
        <v>168.49880637949536</v>
      </c>
      <c r="O27" s="596">
        <f t="shared" si="3"/>
        <v>181.99951202279027</v>
      </c>
      <c r="R27" s="597">
        <f>((0.278*$K$16*POWER(10,-6)*(($R$21*$U$21))))</f>
        <v>0.0005505560928</v>
      </c>
      <c r="S27" s="598">
        <f>($Q$23/R27)/10</f>
        <v>68.78934964963044</v>
      </c>
      <c r="T27" s="3"/>
    </row>
    <row r="28" spans="3:15" ht="42" customHeight="1">
      <c r="C28" s="680" t="s">
        <v>211</v>
      </c>
      <c r="D28" s="681">
        <f>(D29*$D$13)</f>
        <v>0.02677982772686928</v>
      </c>
      <c r="E28" s="681">
        <f>($E$29*$D$13)</f>
        <v>0.03787239556935359</v>
      </c>
      <c r="F28" s="681">
        <f>($F$29*$D$13)</f>
        <v>0.04638402224087934</v>
      </c>
      <c r="G28" s="681">
        <f>($G$29*$D$13)</f>
        <v>0.05355965545373856</v>
      </c>
      <c r="H28" s="681">
        <f>($H$29*$D$13)</f>
        <v>0.059881515223013375</v>
      </c>
      <c r="I28" s="681">
        <f>($I$29*$D$13)</f>
        <v>0.06559691333046684</v>
      </c>
      <c r="J28" s="681">
        <f>($J$29*$D$13)</f>
        <v>0.07085276431844827</v>
      </c>
      <c r="K28" s="681">
        <f>($K$29*$D$13)</f>
        <v>0.07574479113870718</v>
      </c>
      <c r="L28" s="681">
        <f>($L$29*$D$13)</f>
        <v>0.08033948318060782</v>
      </c>
      <c r="M28" s="681">
        <f>($M$29*$D$13)</f>
        <v>0.08468525096383646</v>
      </c>
      <c r="N28" s="681">
        <f>($N$29*$D$13)</f>
        <v>0.09276804448175868</v>
      </c>
      <c r="O28" s="682">
        <f>($O$29*$D$13)</f>
        <v>0.10020094023077404</v>
      </c>
    </row>
    <row r="29" spans="3:15" ht="42" customHeight="1">
      <c r="C29" s="683" t="s">
        <v>212</v>
      </c>
      <c r="D29" s="684">
        <f>($F$15/$D$16)*POWER($D$20/100,1/2)</f>
        <v>0.7141287393831808</v>
      </c>
      <c r="E29" s="684">
        <f>($F$15/$D$16)*POWER($E$20/100,1/2)</f>
        <v>1.0099305485160956</v>
      </c>
      <c r="F29" s="684">
        <f>($F$15/$D$16)*POWER($F$20/100,1/2)</f>
        <v>1.2369072597567825</v>
      </c>
      <c r="G29" s="684">
        <f>($F$15/$D$16)*POWER($G$20/100,1/2)</f>
        <v>1.4282574787663616</v>
      </c>
      <c r="H29" s="684">
        <f>($F$15/$D$16)*POWER($H$20/100,1/2)</f>
        <v>1.5968404059470234</v>
      </c>
      <c r="I29" s="684">
        <f>($F$15/$D$16)*POWER($I$20/100,1/2)</f>
        <v>1.7492510221457827</v>
      </c>
      <c r="J29" s="684">
        <f>($F$15/$D$16)*POWER($J$20/100,1/2)</f>
        <v>1.8894070484919538</v>
      </c>
      <c r="K29" s="684">
        <f>($F$15/$D$16)*POWER($K$20/100,1/2)</f>
        <v>2.0198610970321913</v>
      </c>
      <c r="L29" s="684">
        <f>($F$15/$D$16)*POWER($L$20/100,1/2)</f>
        <v>2.142386218149542</v>
      </c>
      <c r="M29" s="684">
        <f>($F$15/$D$16)*POWER($M$20/100,1/2)</f>
        <v>2.258273359035639</v>
      </c>
      <c r="N29" s="684">
        <f>($F$15/$D$16)*POWER($N$20/100,1/2)</f>
        <v>2.473814519513565</v>
      </c>
      <c r="O29" s="685">
        <f>($F$15/$D$16)*POWER($O$20/100,1/2)</f>
        <v>2.672025072820641</v>
      </c>
    </row>
    <row r="30" spans="3:15" ht="18" customHeight="1">
      <c r="C30" s="82"/>
      <c r="D30" s="602" t="s">
        <v>31</v>
      </c>
      <c r="E30" s="951">
        <f>Q34</f>
        <v>916.2741373330773</v>
      </c>
      <c r="F30" s="951"/>
      <c r="G30" s="603" t="s">
        <v>33</v>
      </c>
      <c r="H30" s="604" t="s">
        <v>277</v>
      </c>
      <c r="I30" s="605">
        <f>R18</f>
        <v>0.9</v>
      </c>
      <c r="J30" s="293" t="s">
        <v>278</v>
      </c>
      <c r="K30" s="5"/>
      <c r="L30" s="5"/>
      <c r="M30" s="5"/>
      <c r="N30" s="5"/>
      <c r="O30" s="83"/>
    </row>
    <row r="31" spans="3:21" ht="15" customHeight="1">
      <c r="C31" s="82"/>
      <c r="D31" s="6"/>
      <c r="E31" s="509"/>
      <c r="F31" s="509"/>
      <c r="G31" s="3"/>
      <c r="H31" s="183"/>
      <c r="I31" s="606"/>
      <c r="J31" s="168"/>
      <c r="K31" s="5"/>
      <c r="L31" s="5"/>
      <c r="M31" s="5"/>
      <c r="N31" s="5"/>
      <c r="O31" s="83"/>
      <c r="T31" s="1"/>
      <c r="U31" s="1"/>
    </row>
    <row r="32" spans="3:21" ht="15" customHeight="1">
      <c r="C32" s="82"/>
      <c r="D32" s="6" t="s">
        <v>31</v>
      </c>
      <c r="E32" s="5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83"/>
      <c r="Q32" s="97">
        <f>Q23</f>
        <v>0.3787239556935358</v>
      </c>
      <c r="T32" s="1"/>
      <c r="U32" s="1"/>
    </row>
    <row r="33" spans="3:21" ht="15" customHeight="1">
      <c r="C33" s="82"/>
      <c r="D33" s="6" t="s">
        <v>32</v>
      </c>
      <c r="E33" s="5" t="s">
        <v>26</v>
      </c>
      <c r="F33" s="5"/>
      <c r="G33" s="5"/>
      <c r="H33" s="5"/>
      <c r="I33" s="5"/>
      <c r="J33" s="5"/>
      <c r="K33" s="5"/>
      <c r="L33" s="5"/>
      <c r="M33" s="5"/>
      <c r="N33" s="5"/>
      <c r="O33" s="83"/>
      <c r="Q33" s="98">
        <f>((0.278*$K$16*POWER(10,-6)))</f>
        <v>4.133304E-05</v>
      </c>
      <c r="T33" s="1"/>
      <c r="U33" s="1"/>
    </row>
    <row r="34" spans="3:21" ht="15" customHeight="1">
      <c r="C34" s="82"/>
      <c r="D34" s="6" t="s">
        <v>29</v>
      </c>
      <c r="E34" s="5" t="s">
        <v>172</v>
      </c>
      <c r="F34" s="5"/>
      <c r="G34" s="5"/>
      <c r="H34" s="5"/>
      <c r="I34" s="5"/>
      <c r="J34" s="5"/>
      <c r="K34" s="5"/>
      <c r="L34" s="118">
        <f>U18</f>
        <v>6.1</v>
      </c>
      <c r="M34" s="5"/>
      <c r="N34" s="5"/>
      <c r="O34" s="83"/>
      <c r="Q34" s="102">
        <f>(Q32/Q33)/10</f>
        <v>916.2741373330773</v>
      </c>
      <c r="T34" s="1"/>
      <c r="U34" s="1"/>
    </row>
    <row r="35" spans="3:21" ht="15" customHeight="1">
      <c r="C35" s="82"/>
      <c r="D35" s="6" t="s">
        <v>29</v>
      </c>
      <c r="E35" s="5" t="s">
        <v>173</v>
      </c>
      <c r="F35" s="5"/>
      <c r="G35" s="5"/>
      <c r="H35" s="5"/>
      <c r="I35" s="5"/>
      <c r="J35" s="5"/>
      <c r="K35" s="5"/>
      <c r="L35" s="118">
        <f>U19</f>
        <v>12.2</v>
      </c>
      <c r="M35" s="5"/>
      <c r="N35" s="5"/>
      <c r="O35" s="83"/>
      <c r="Q35" s="99"/>
      <c r="T35" s="1"/>
      <c r="U35" s="1"/>
    </row>
    <row r="36" spans="3:21" ht="15" customHeight="1">
      <c r="C36" s="82"/>
      <c r="D36" s="6" t="s">
        <v>29</v>
      </c>
      <c r="E36" s="5" t="s">
        <v>287</v>
      </c>
      <c r="F36" s="5"/>
      <c r="G36" s="5"/>
      <c r="H36" s="5"/>
      <c r="I36" s="5"/>
      <c r="J36" s="5"/>
      <c r="K36" s="5"/>
      <c r="L36" s="118">
        <f>U20</f>
        <v>8.7</v>
      </c>
      <c r="M36" s="5"/>
      <c r="N36" s="5"/>
      <c r="O36" s="83"/>
      <c r="Q36" s="100"/>
      <c r="T36" s="1"/>
      <c r="U36" s="1"/>
    </row>
    <row r="37" spans="3:21" ht="15" customHeight="1">
      <c r="C37" s="82"/>
      <c r="D37" s="6" t="s">
        <v>29</v>
      </c>
      <c r="E37" s="5" t="s">
        <v>288</v>
      </c>
      <c r="F37" s="5"/>
      <c r="G37" s="5"/>
      <c r="H37" s="5"/>
      <c r="I37" s="5"/>
      <c r="J37" s="5"/>
      <c r="K37" s="5"/>
      <c r="L37" s="118">
        <f>U21</f>
        <v>14.8</v>
      </c>
      <c r="M37" s="5"/>
      <c r="N37" s="5"/>
      <c r="O37" s="83"/>
      <c r="R37" s="101"/>
      <c r="T37" s="1"/>
      <c r="U37" s="1"/>
    </row>
    <row r="38" spans="3:21" ht="6.75" customHeight="1">
      <c r="C38" s="952"/>
      <c r="D38" s="953"/>
      <c r="E38" s="953"/>
      <c r="F38" s="953"/>
      <c r="G38" s="953"/>
      <c r="H38" s="953"/>
      <c r="I38" s="953"/>
      <c r="J38" s="953"/>
      <c r="K38" s="953"/>
      <c r="L38" s="953"/>
      <c r="M38" s="953"/>
      <c r="N38" s="953"/>
      <c r="O38" s="954"/>
      <c r="T38" s="1"/>
      <c r="U38" s="1"/>
    </row>
    <row r="39" spans="20:21" s="5" customFormat="1" ht="15" customHeight="1">
      <c r="T39" s="3"/>
      <c r="U39" s="3"/>
    </row>
    <row r="40" ht="12.75">
      <c r="H40" s="5"/>
    </row>
  </sheetData>
  <sheetProtection/>
  <mergeCells count="54">
    <mergeCell ref="C2:F5"/>
    <mergeCell ref="G3:O3"/>
    <mergeCell ref="O24:O25"/>
    <mergeCell ref="C38:O38"/>
    <mergeCell ref="K24:K25"/>
    <mergeCell ref="L24:L25"/>
    <mergeCell ref="M24:M25"/>
    <mergeCell ref="N24:N25"/>
    <mergeCell ref="G24:G25"/>
    <mergeCell ref="H24:H25"/>
    <mergeCell ref="I24:I25"/>
    <mergeCell ref="J24:J25"/>
    <mergeCell ref="C24:C25"/>
    <mergeCell ref="D24:D25"/>
    <mergeCell ref="E24:E25"/>
    <mergeCell ref="F24:F25"/>
    <mergeCell ref="N22:N23"/>
    <mergeCell ref="E20:E21"/>
    <mergeCell ref="O22:O23"/>
    <mergeCell ref="I22:I23"/>
    <mergeCell ref="J22:J23"/>
    <mergeCell ref="K22:K23"/>
    <mergeCell ref="L22:L23"/>
    <mergeCell ref="M22:M23"/>
    <mergeCell ref="D8:M8"/>
    <mergeCell ref="K20:K21"/>
    <mergeCell ref="L20:L21"/>
    <mergeCell ref="M20:M21"/>
    <mergeCell ref="D20:D21"/>
    <mergeCell ref="J13:K13"/>
    <mergeCell ref="F20:F21"/>
    <mergeCell ref="G20:G21"/>
    <mergeCell ref="I20:I21"/>
    <mergeCell ref="L13:N13"/>
    <mergeCell ref="D7:M7"/>
    <mergeCell ref="C19:C20"/>
    <mergeCell ref="N20:N21"/>
    <mergeCell ref="D22:D23"/>
    <mergeCell ref="E22:E23"/>
    <mergeCell ref="F22:F23"/>
    <mergeCell ref="G22:G23"/>
    <mergeCell ref="H22:H23"/>
    <mergeCell ref="J20:J21"/>
    <mergeCell ref="C22:C23"/>
    <mergeCell ref="E30:F30"/>
    <mergeCell ref="Q4:R4"/>
    <mergeCell ref="O20:O21"/>
    <mergeCell ref="G2:O2"/>
    <mergeCell ref="G4:O4"/>
    <mergeCell ref="G5:O5"/>
    <mergeCell ref="D9:M9"/>
    <mergeCell ref="D11:M11"/>
    <mergeCell ref="D18:O19"/>
    <mergeCell ref="H20:H21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3"/>
  <legacyDrawing r:id="rId2"/>
  <oleObjects>
    <oleObject progId="Equation.3" shapeId="2566036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W133"/>
  <sheetViews>
    <sheetView zoomScalePageLayoutView="0" workbookViewId="0" topLeftCell="A82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'[4]BASE '!G3</f>
        <v>Rodovia: MG-424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'[4]BASE '!G4</f>
        <v>Trecho: Entroncamento MG-010  -  Sete Lagoas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 t="e">
        <f>'[4]BASE '!G5</f>
        <v>#REF!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28" t="s">
        <v>48</v>
      </c>
      <c r="E7" s="828"/>
      <c r="F7" s="828"/>
      <c r="G7" s="828"/>
      <c r="H7" s="828"/>
      <c r="I7" s="828"/>
      <c r="J7" s="828"/>
      <c r="K7" s="828"/>
      <c r="L7" s="828"/>
      <c r="M7" s="828"/>
      <c r="N7" s="116"/>
      <c r="O7" s="90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 t="s">
        <v>54</v>
      </c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279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0.0525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'[4]BASE '!$L$14</f>
        <v>Sete Lagoas - MG</v>
      </c>
      <c r="M14" s="922"/>
      <c r="N14" s="922"/>
      <c r="O14" s="83"/>
      <c r="P14" s="299"/>
    </row>
    <row r="15" spans="3:16" ht="15" customHeight="1" thickBot="1">
      <c r="C15" s="87" t="s">
        <v>5</v>
      </c>
      <c r="D15" s="125">
        <v>0.7822</v>
      </c>
      <c r="E15" s="5" t="s">
        <v>7</v>
      </c>
      <c r="F15" s="8"/>
      <c r="G15" s="8"/>
      <c r="H15" s="8"/>
      <c r="I15" s="8"/>
      <c r="J15" s="6" t="s">
        <v>18</v>
      </c>
      <c r="K15" s="215">
        <f>'[4]BASE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0.06711838404500127</v>
      </c>
      <c r="E16" s="8" t="s">
        <v>7</v>
      </c>
      <c r="F16" s="92">
        <f>POWER($D$16,2/3)</f>
        <v>0.16515598932776016</v>
      </c>
      <c r="G16" s="8"/>
      <c r="H16" s="8"/>
      <c r="I16" s="8"/>
      <c r="J16" s="6" t="s">
        <v>17</v>
      </c>
      <c r="K16" s="215">
        <f>'[4]BASE '!K16</f>
        <v>5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'[4]BASE '!$D$17</f>
        <v>0.015</v>
      </c>
      <c r="E17" s="5"/>
      <c r="F17" s="5"/>
      <c r="G17" s="5"/>
      <c r="H17" s="5"/>
      <c r="I17" s="5"/>
      <c r="J17" s="6" t="s">
        <v>19</v>
      </c>
      <c r="K17" s="307">
        <f>'[4]BASE '!K17</f>
        <v>148.68</v>
      </c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186">
        <f aca="true" t="shared" si="0" ref="D18:O18">D19*$D$14</f>
        <v>0.02890229813235803</v>
      </c>
      <c r="E18" s="186">
        <f t="shared" si="0"/>
        <v>0.0408740220025313</v>
      </c>
      <c r="F18" s="186">
        <f t="shared" si="0"/>
        <v>0.05780459626471606</v>
      </c>
      <c r="G18" s="186">
        <f t="shared" si="0"/>
        <v>0.07079588281807239</v>
      </c>
      <c r="H18" s="186">
        <f t="shared" si="0"/>
        <v>0.0817480440050626</v>
      </c>
      <c r="I18" s="186">
        <f t="shared" si="0"/>
        <v>0.09139709171148207</v>
      </c>
      <c r="J18" s="186">
        <f t="shared" si="0"/>
        <v>0.10012049764149436</v>
      </c>
      <c r="K18" s="186">
        <f t="shared" si="0"/>
        <v>0.10814249730168012</v>
      </c>
      <c r="L18" s="186">
        <f t="shared" si="0"/>
        <v>0.11560919252943212</v>
      </c>
      <c r="M18" s="186">
        <f t="shared" si="0"/>
        <v>0.12925500665983553</v>
      </c>
      <c r="N18" s="186">
        <f t="shared" si="0"/>
        <v>0.14159176563614478</v>
      </c>
      <c r="O18" s="187">
        <f t="shared" si="0"/>
        <v>0.15293658635293186</v>
      </c>
      <c r="P18" s="310"/>
      <c r="Q18" s="46" t="s">
        <v>139</v>
      </c>
      <c r="R18" s="311">
        <v>0.9</v>
      </c>
      <c r="S18" s="31"/>
      <c r="T18" s="38" t="s">
        <v>29</v>
      </c>
      <c r="U18" s="311">
        <v>6.1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0.5505199644258673</v>
      </c>
      <c r="E19" s="188">
        <f t="shared" si="1"/>
        <v>0.7785528000482153</v>
      </c>
      <c r="F19" s="188">
        <f t="shared" si="1"/>
        <v>1.1010399288517345</v>
      </c>
      <c r="G19" s="188">
        <f t="shared" si="1"/>
        <v>1.3484930060585218</v>
      </c>
      <c r="H19" s="188">
        <f t="shared" si="1"/>
        <v>1.5571056000964305</v>
      </c>
      <c r="I19" s="188">
        <f t="shared" si="1"/>
        <v>1.7408969849806109</v>
      </c>
      <c r="J19" s="188">
        <f t="shared" si="1"/>
        <v>1.907057097933226</v>
      </c>
      <c r="K19" s="188">
        <f t="shared" si="1"/>
        <v>2.059857091460574</v>
      </c>
      <c r="L19" s="188">
        <f t="shared" si="1"/>
        <v>2.202079857703469</v>
      </c>
      <c r="M19" s="188">
        <f t="shared" si="1"/>
        <v>2.46200012685401</v>
      </c>
      <c r="N19" s="188">
        <f t="shared" si="1"/>
        <v>2.6969860121170437</v>
      </c>
      <c r="O19" s="189">
        <f t="shared" si="1"/>
        <v>2.91307783529394</v>
      </c>
      <c r="P19" s="312">
        <v>0.4</v>
      </c>
      <c r="Q19" s="46" t="s">
        <v>140</v>
      </c>
      <c r="R19" s="311">
        <v>0.6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0.5780459626471606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97.93474941344945</v>
      </c>
      <c r="E24" s="65">
        <f aca="true" t="shared" si="3" ref="E24:E33">(($Q$23/R24)/10)*SQRT($E$22)</f>
        <v>138.50065084811075</v>
      </c>
      <c r="F24" s="65">
        <f aca="true" t="shared" si="4" ref="F24:F33">(($Q$23/R24)/10)*SQRT($F$22)</f>
        <v>195.8694988268989</v>
      </c>
      <c r="G24" s="65">
        <f aca="true" t="shared" si="5" ref="G24:G33">(($Q$23/R24)/10)*SQRT($G$22)</f>
        <v>239.89016415028527</v>
      </c>
      <c r="H24" s="65">
        <f aca="true" t="shared" si="6" ref="H24:H33">(($Q$23/R24)/10)*SQRT($H$22)</f>
        <v>277.0013016962215</v>
      </c>
      <c r="I24" s="65">
        <f aca="true" t="shared" si="7" ref="I24:I33">(($Q$23/R24)/10)*SQRT($I$22)</f>
        <v>309.69687022433953</v>
      </c>
      <c r="J24" s="65">
        <f aca="true" t="shared" si="8" ref="J24:J33">(($Q$23/R24)/10)*SQRT($J$22)</f>
        <v>339.2559236212415</v>
      </c>
      <c r="K24" s="65">
        <f aca="true" t="shared" si="9" ref="K24:K33">(($Q$23/R24)/10)*SQRT($K$22)</f>
        <v>366.43827856468806</v>
      </c>
      <c r="L24" s="65">
        <f aca="true" t="shared" si="10" ref="L24:L33">(($Q$23/R24)/10)*SQRT($L$22)</f>
        <v>391.7389976537978</v>
      </c>
      <c r="M24" s="65">
        <f aca="true" t="shared" si="11" ref="M24:M33">(($Q$23/R24)/10)*SQRT($M$22)</f>
        <v>437.9775140957613</v>
      </c>
      <c r="N24" s="65">
        <f aca="true" t="shared" si="12" ref="N24:N33">(($Q$23/R24)/10)*SQRT($N$22)</f>
        <v>479.78032830057055</v>
      </c>
      <c r="O24" s="66">
        <f aca="true" t="shared" si="13" ref="O24:O33">(($Q$23/R24)/10)*SQRT($O$22)</f>
        <v>518.2219833188321</v>
      </c>
      <c r="P24" s="299"/>
      <c r="Q24" s="51"/>
      <c r="R24" s="29">
        <f aca="true" t="shared" si="14" ref="R24:R33">((0.278*$K$17*POWER(10,-6)*(($R$18*$U$18)+($R$19*W24)+($R$20*$U$20))))</f>
        <v>0.0002951179056</v>
      </c>
      <c r="S24" s="165">
        <f aca="true" t="shared" si="15" ref="S24:S33">($Q$23/R24)/10</f>
        <v>195.8694988268989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90.34290837364716</v>
      </c>
      <c r="E25" s="67">
        <f t="shared" si="3"/>
        <v>127.76416628624168</v>
      </c>
      <c r="F25" s="67">
        <f t="shared" si="4"/>
        <v>180.68581674729433</v>
      </c>
      <c r="G25" s="67">
        <f t="shared" si="5"/>
        <v>221.2940273944492</v>
      </c>
      <c r="H25" s="67">
        <f t="shared" si="6"/>
        <v>255.52833257248335</v>
      </c>
      <c r="I25" s="67">
        <f t="shared" si="7"/>
        <v>285.68936090462324</v>
      </c>
      <c r="J25" s="67">
        <f t="shared" si="8"/>
        <v>312.9570148133933</v>
      </c>
      <c r="K25" s="67">
        <f t="shared" si="9"/>
        <v>338.03221045889825</v>
      </c>
      <c r="L25" s="67">
        <f t="shared" si="10"/>
        <v>361.37163349458865</v>
      </c>
      <c r="M25" s="67">
        <f t="shared" si="11"/>
        <v>404.0257688170201</v>
      </c>
      <c r="N25" s="67">
        <f t="shared" si="12"/>
        <v>442.5880547888984</v>
      </c>
      <c r="O25" s="68">
        <f t="shared" si="13"/>
        <v>478.04973654993034</v>
      </c>
      <c r="P25" s="299"/>
      <c r="Q25" s="51"/>
      <c r="R25" s="30">
        <f t="shared" si="14"/>
        <v>0.0003199177296</v>
      </c>
      <c r="S25" s="78">
        <f t="shared" si="15"/>
        <v>180.68581674729433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86.97190432985437</v>
      </c>
      <c r="E26" s="67">
        <f t="shared" si="3"/>
        <v>122.99684664869537</v>
      </c>
      <c r="F26" s="67">
        <f t="shared" si="4"/>
        <v>173.94380865970874</v>
      </c>
      <c r="G26" s="67">
        <f t="shared" si="5"/>
        <v>213.03678756629813</v>
      </c>
      <c r="H26" s="67">
        <f t="shared" si="6"/>
        <v>245.99369329739073</v>
      </c>
      <c r="I26" s="67">
        <f t="shared" si="7"/>
        <v>275.02931012460004</v>
      </c>
      <c r="J26" s="67">
        <f t="shared" si="8"/>
        <v>301.27951426065476</v>
      </c>
      <c r="K26" s="67">
        <f t="shared" si="9"/>
        <v>325.4190682775961</v>
      </c>
      <c r="L26" s="67">
        <f t="shared" si="10"/>
        <v>347.8876173194175</v>
      </c>
      <c r="M26" s="67">
        <f t="shared" si="11"/>
        <v>388.9501804283253</v>
      </c>
      <c r="N26" s="67">
        <f t="shared" si="12"/>
        <v>426.07357513259626</v>
      </c>
      <c r="O26" s="68">
        <f t="shared" si="13"/>
        <v>460.2120598129927</v>
      </c>
      <c r="P26" s="299"/>
      <c r="Q26" s="51"/>
      <c r="R26" s="30">
        <f t="shared" si="14"/>
        <v>0.00033231764159999996</v>
      </c>
      <c r="S26" s="78">
        <f t="shared" si="15"/>
        <v>173.94380865970874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83.84341856259341</v>
      </c>
      <c r="E27" s="67">
        <f t="shared" si="3"/>
        <v>118.57249964694373</v>
      </c>
      <c r="F27" s="67">
        <f t="shared" si="4"/>
        <v>167.68683712518683</v>
      </c>
      <c r="G27" s="67">
        <f t="shared" si="5"/>
        <v>205.37359376894926</v>
      </c>
      <c r="H27" s="67">
        <f t="shared" si="6"/>
        <v>237.14499929388745</v>
      </c>
      <c r="I27" s="67">
        <f t="shared" si="7"/>
        <v>265.13616947263597</v>
      </c>
      <c r="J27" s="67">
        <f t="shared" si="8"/>
        <v>290.4421216613506</v>
      </c>
      <c r="K27" s="67">
        <f t="shared" si="9"/>
        <v>313.71334639710705</v>
      </c>
      <c r="L27" s="67">
        <f t="shared" si="10"/>
        <v>335.37367425037365</v>
      </c>
      <c r="M27" s="67">
        <f t="shared" si="11"/>
        <v>374.9591667438532</v>
      </c>
      <c r="N27" s="67">
        <f t="shared" si="12"/>
        <v>410.7471875378985</v>
      </c>
      <c r="O27" s="68">
        <f t="shared" si="13"/>
        <v>443.65766917223755</v>
      </c>
      <c r="P27" s="299"/>
      <c r="Q27" s="51"/>
      <c r="R27" s="30">
        <f t="shared" si="14"/>
        <v>0.0003447175536</v>
      </c>
      <c r="S27" s="78">
        <f t="shared" si="15"/>
        <v>167.68683712518683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80.93218875139225</v>
      </c>
      <c r="E28" s="67">
        <f t="shared" si="3"/>
        <v>114.45539896475817</v>
      </c>
      <c r="F28" s="67">
        <f t="shared" si="4"/>
        <v>161.8643775027845</v>
      </c>
      <c r="G28" s="67">
        <f t="shared" si="5"/>
        <v>198.2425662075274</v>
      </c>
      <c r="H28" s="67">
        <f t="shared" si="6"/>
        <v>228.91079792951635</v>
      </c>
      <c r="I28" s="67">
        <f t="shared" si="7"/>
        <v>255.93005247705833</v>
      </c>
      <c r="J28" s="67">
        <f t="shared" si="8"/>
        <v>280.3573257703315</v>
      </c>
      <c r="K28" s="67">
        <f t="shared" si="9"/>
        <v>302.8205218694297</v>
      </c>
      <c r="L28" s="67">
        <f t="shared" si="10"/>
        <v>323.728755005569</v>
      </c>
      <c r="M28" s="67">
        <f t="shared" si="11"/>
        <v>361.9397512319138</v>
      </c>
      <c r="N28" s="67">
        <f t="shared" si="12"/>
        <v>396.4851324150548</v>
      </c>
      <c r="O28" s="68">
        <f t="shared" si="13"/>
        <v>428.2528889926459</v>
      </c>
      <c r="P28" s="299"/>
      <c r="Q28" s="51"/>
      <c r="R28" s="30">
        <f t="shared" si="14"/>
        <v>0.0003571174656</v>
      </c>
      <c r="S28" s="78">
        <f t="shared" si="15"/>
        <v>161.8643775027845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78.2163434912784</v>
      </c>
      <c r="E29" s="67">
        <f t="shared" si="3"/>
        <v>110.61461376459847</v>
      </c>
      <c r="F29" s="67">
        <f t="shared" si="4"/>
        <v>156.4326869825568</v>
      </c>
      <c r="G29" s="67">
        <f t="shared" si="5"/>
        <v>191.5901310998922</v>
      </c>
      <c r="H29" s="67">
        <f t="shared" si="6"/>
        <v>221.22922752919695</v>
      </c>
      <c r="I29" s="67">
        <f t="shared" si="7"/>
        <v>247.3417956825261</v>
      </c>
      <c r="J29" s="67">
        <f t="shared" si="8"/>
        <v>270.94936181830684</v>
      </c>
      <c r="K29" s="67">
        <f t="shared" si="9"/>
        <v>292.6587593905897</v>
      </c>
      <c r="L29" s="67">
        <f t="shared" si="10"/>
        <v>312.8653739651136</v>
      </c>
      <c r="M29" s="67">
        <f t="shared" si="11"/>
        <v>349.79412199594344</v>
      </c>
      <c r="N29" s="67">
        <f t="shared" si="12"/>
        <v>383.1802621997844</v>
      </c>
      <c r="O29" s="68">
        <f t="shared" si="13"/>
        <v>413.8819866774564</v>
      </c>
      <c r="P29" s="299"/>
      <c r="Q29" s="51"/>
      <c r="R29" s="30">
        <f t="shared" si="14"/>
        <v>0.0003695173776000001</v>
      </c>
      <c r="S29" s="78">
        <f t="shared" si="15"/>
        <v>156.4326869825568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73.2970766050345</v>
      </c>
      <c r="E30" s="67">
        <f t="shared" si="3"/>
        <v>103.6577198171395</v>
      </c>
      <c r="F30" s="67">
        <f t="shared" si="4"/>
        <v>146.594153210069</v>
      </c>
      <c r="G30" s="67">
        <f t="shared" si="5"/>
        <v>179.54043732002486</v>
      </c>
      <c r="H30" s="67">
        <f t="shared" si="6"/>
        <v>207.315439634279</v>
      </c>
      <c r="I30" s="67">
        <f t="shared" si="7"/>
        <v>231.785707903751</v>
      </c>
      <c r="J30" s="67">
        <f t="shared" si="8"/>
        <v>253.90852145237574</v>
      </c>
      <c r="K30" s="67">
        <f t="shared" si="9"/>
        <v>274.2525481081628</v>
      </c>
      <c r="L30" s="67">
        <f t="shared" si="10"/>
        <v>293.188306420138</v>
      </c>
      <c r="M30" s="67">
        <f t="shared" si="11"/>
        <v>327.79449168173335</v>
      </c>
      <c r="N30" s="67">
        <f t="shared" si="12"/>
        <v>359.08087464004973</v>
      </c>
      <c r="O30" s="68">
        <f t="shared" si="13"/>
        <v>387.85167304994354</v>
      </c>
      <c r="P30" s="299"/>
      <c r="Q30" s="51"/>
      <c r="R30" s="30">
        <f t="shared" si="14"/>
        <v>0.00039431720159999997</v>
      </c>
      <c r="S30" s="78">
        <f t="shared" si="15"/>
        <v>146.594153210069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>
        <f t="shared" si="2"/>
        <v>68.95997148047624</v>
      </c>
      <c r="E31" s="67">
        <f t="shared" si="3"/>
        <v>97.52412692855135</v>
      </c>
      <c r="F31" s="67">
        <f t="shared" si="4"/>
        <v>137.91994296095248</v>
      </c>
      <c r="G31" s="67">
        <f t="shared" si="5"/>
        <v>168.91674280404703</v>
      </c>
      <c r="H31" s="67">
        <f t="shared" si="6"/>
        <v>195.0482538571027</v>
      </c>
      <c r="I31" s="67">
        <f t="shared" si="7"/>
        <v>218.0705772585586</v>
      </c>
      <c r="J31" s="67">
        <f t="shared" si="8"/>
        <v>238.8843485853712</v>
      </c>
      <c r="K31" s="67">
        <f t="shared" si="9"/>
        <v>258.0245866816443</v>
      </c>
      <c r="L31" s="67">
        <f t="shared" si="10"/>
        <v>275.83988592190497</v>
      </c>
      <c r="M31" s="67">
        <f t="shared" si="11"/>
        <v>308.3983679135834</v>
      </c>
      <c r="N31" s="67">
        <f t="shared" si="12"/>
        <v>337.83348560809407</v>
      </c>
      <c r="O31" s="68">
        <f t="shared" si="13"/>
        <v>364.9018699108936</v>
      </c>
      <c r="P31" s="299"/>
      <c r="Q31" s="51"/>
      <c r="R31" s="30">
        <f t="shared" si="14"/>
        <v>0.00041911702560000003</v>
      </c>
      <c r="S31" s="78">
        <f t="shared" si="15"/>
        <v>137.91994296095248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65.10745910726527</v>
      </c>
      <c r="E32" s="67">
        <f t="shared" si="3"/>
        <v>92.07585168114623</v>
      </c>
      <c r="F32" s="67">
        <f t="shared" si="4"/>
        <v>130.21491821453054</v>
      </c>
      <c r="G32" s="67">
        <f t="shared" si="5"/>
        <v>159.48005326192148</v>
      </c>
      <c r="H32" s="67">
        <f t="shared" si="6"/>
        <v>184.15170336229247</v>
      </c>
      <c r="I32" s="67">
        <f t="shared" si="7"/>
        <v>205.88786344523126</v>
      </c>
      <c r="J32" s="67">
        <f t="shared" si="8"/>
        <v>225.53885425099293</v>
      </c>
      <c r="K32" s="67">
        <f t="shared" si="9"/>
        <v>243.6098053027814</v>
      </c>
      <c r="L32" s="67">
        <f t="shared" si="10"/>
        <v>260.4298364290611</v>
      </c>
      <c r="M32" s="67">
        <f t="shared" si="11"/>
        <v>291.16940881226583</v>
      </c>
      <c r="N32" s="67">
        <f t="shared" si="12"/>
        <v>318.96010652384297</v>
      </c>
      <c r="O32" s="68">
        <f t="shared" si="13"/>
        <v>344.51629058626264</v>
      </c>
      <c r="P32" s="299"/>
      <c r="Q32" s="51"/>
      <c r="R32" s="30">
        <f t="shared" si="14"/>
        <v>0.0004439168496000001</v>
      </c>
      <c r="S32" s="78">
        <f t="shared" si="15"/>
        <v>130.21491821453054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61.66262000106076</v>
      </c>
      <c r="E33" s="69">
        <f t="shared" si="3"/>
        <v>87.2041134969586</v>
      </c>
      <c r="F33" s="69">
        <f t="shared" si="4"/>
        <v>123.32524000212152</v>
      </c>
      <c r="G33" s="69">
        <f t="shared" si="5"/>
        <v>151.04195520573515</v>
      </c>
      <c r="H33" s="69">
        <f t="shared" si="6"/>
        <v>174.4082269939172</v>
      </c>
      <c r="I33" s="69">
        <f t="shared" si="7"/>
        <v>194.99432569680633</v>
      </c>
      <c r="J33" s="69">
        <f t="shared" si="8"/>
        <v>213.60558153930018</v>
      </c>
      <c r="K33" s="69">
        <f t="shared" si="9"/>
        <v>230.72039761480357</v>
      </c>
      <c r="L33" s="69">
        <f t="shared" si="10"/>
        <v>246.65048000424304</v>
      </c>
      <c r="M33" s="69">
        <f t="shared" si="11"/>
        <v>275.76361998622</v>
      </c>
      <c r="N33" s="69">
        <f t="shared" si="12"/>
        <v>302.0839104114703</v>
      </c>
      <c r="O33" s="70">
        <f t="shared" si="13"/>
        <v>326.2879154229683</v>
      </c>
      <c r="P33" s="299"/>
      <c r="Q33" s="53"/>
      <c r="R33" s="54">
        <f t="shared" si="14"/>
        <v>0.0004687166736</v>
      </c>
      <c r="S33" s="106">
        <f t="shared" si="15"/>
        <v>123.32524000212152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1398.508221624058</v>
      </c>
      <c r="F35" s="920"/>
      <c r="G35" s="3" t="s">
        <v>33</v>
      </c>
      <c r="H35" s="183" t="s">
        <v>280</v>
      </c>
      <c r="I35" s="606">
        <f>R18</f>
        <v>0.9</v>
      </c>
      <c r="J35" s="3" t="s">
        <v>281</v>
      </c>
      <c r="K35" s="606">
        <f>R19</f>
        <v>0.6</v>
      </c>
      <c r="L35" s="3" t="s">
        <v>282</v>
      </c>
      <c r="M35" s="606">
        <f>R20</f>
        <v>0.35</v>
      </c>
      <c r="N35" s="3" t="s">
        <v>283</v>
      </c>
      <c r="O35" s="83" t="s">
        <v>284</v>
      </c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0.5780459626471606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4.133304E-05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6.1</v>
      </c>
      <c r="M40" s="5"/>
      <c r="N40" s="5"/>
      <c r="O40" s="83"/>
      <c r="P40" s="299"/>
      <c r="Q40" s="102">
        <f>(Q38/Q39)/10</f>
        <v>1398.508221624058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9" ht="19.5" customHeight="1">
      <c r="C46" s="878"/>
      <c r="D46" s="879"/>
      <c r="E46" s="879"/>
      <c r="F46" s="880"/>
      <c r="G46" s="861" t="str">
        <f>G2</f>
        <v>PROJETO  DE  DRENAGEM</v>
      </c>
      <c r="H46" s="862"/>
      <c r="I46" s="862"/>
      <c r="J46" s="862"/>
      <c r="K46" s="862"/>
      <c r="L46" s="862"/>
      <c r="M46" s="862"/>
      <c r="N46" s="862"/>
      <c r="O46" s="863"/>
      <c r="P46" s="327"/>
      <c r="R46" s="929"/>
      <c r="S46" s="929"/>
    </row>
    <row r="47" spans="3:16" ht="19.5" customHeight="1">
      <c r="C47" s="881"/>
      <c r="D47" s="882"/>
      <c r="E47" s="882"/>
      <c r="F47" s="883"/>
      <c r="G47" s="864" t="str">
        <f>G3</f>
        <v>Rodovia: MG-424</v>
      </c>
      <c r="H47" s="865"/>
      <c r="I47" s="865"/>
      <c r="J47" s="865"/>
      <c r="K47" s="865"/>
      <c r="L47" s="865"/>
      <c r="M47" s="865"/>
      <c r="N47" s="865"/>
      <c r="O47" s="866"/>
      <c r="P47" s="327"/>
    </row>
    <row r="48" spans="3:16" ht="19.5" customHeight="1">
      <c r="C48" s="881"/>
      <c r="D48" s="882"/>
      <c r="E48" s="882"/>
      <c r="F48" s="883"/>
      <c r="G48" s="864" t="str">
        <f>G4</f>
        <v>Trecho: Entroncamento MG-010  -  Sete Lagoas</v>
      </c>
      <c r="H48" s="865"/>
      <c r="I48" s="865"/>
      <c r="J48" s="865"/>
      <c r="K48" s="865"/>
      <c r="L48" s="865"/>
      <c r="M48" s="865"/>
      <c r="N48" s="865"/>
      <c r="O48" s="866"/>
      <c r="P48" s="327"/>
    </row>
    <row r="49" spans="3:16" ht="19.5" customHeight="1">
      <c r="C49" s="884"/>
      <c r="D49" s="885"/>
      <c r="E49" s="885"/>
      <c r="F49" s="886"/>
      <c r="G49" s="924" t="e">
        <f>G5</f>
        <v>#REF!</v>
      </c>
      <c r="H49" s="925"/>
      <c r="I49" s="925"/>
      <c r="J49" s="925"/>
      <c r="K49" s="925"/>
      <c r="L49" s="925"/>
      <c r="M49" s="925"/>
      <c r="N49" s="925"/>
      <c r="O49" s="926"/>
      <c r="P49" s="327"/>
    </row>
    <row r="50" spans="3:16" ht="12.75">
      <c r="C50" s="8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3"/>
      <c r="P50" s="327"/>
    </row>
    <row r="51" spans="2:16" s="75" customFormat="1" ht="21" customHeight="1">
      <c r="B51" s="74"/>
      <c r="C51" s="86"/>
      <c r="D51" s="828" t="str">
        <f>D7</f>
        <v>COMPRIMENTO  CRÍTICO DE SARJETA DE CORTE</v>
      </c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90"/>
      <c r="P51" s="328"/>
    </row>
    <row r="52" spans="2:16" s="75" customFormat="1" ht="12.75" customHeight="1">
      <c r="B52" s="74"/>
      <c r="C52" s="103"/>
      <c r="D52" s="825" t="s">
        <v>52</v>
      </c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90"/>
      <c r="P52" s="328"/>
    </row>
    <row r="53" spans="3:16" ht="18.75" customHeight="1">
      <c r="C53" s="8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3"/>
      <c r="P53" s="327"/>
    </row>
    <row r="54" spans="3:16" ht="12.75">
      <c r="C54" s="82"/>
      <c r="D54" s="823" t="str">
        <f>D10</f>
        <v>TIPO:  SCC - 70/15</v>
      </c>
      <c r="E54" s="823"/>
      <c r="F54" s="823"/>
      <c r="G54" s="823"/>
      <c r="H54" s="823"/>
      <c r="I54" s="823"/>
      <c r="J54" s="823"/>
      <c r="K54" s="823"/>
      <c r="L54" s="823"/>
      <c r="M54" s="823"/>
      <c r="N54" s="5"/>
      <c r="O54" s="83"/>
      <c r="P54" s="327"/>
    </row>
    <row r="55" spans="3:16" ht="12.75">
      <c r="C55" s="82"/>
      <c r="M55" s="5"/>
      <c r="N55" s="5"/>
      <c r="O55" s="83"/>
      <c r="P55" s="327"/>
    </row>
    <row r="56" spans="3:16" ht="12.75">
      <c r="C56" s="82"/>
      <c r="D56" s="921" t="s">
        <v>24</v>
      </c>
      <c r="E56" s="921"/>
      <c r="F56" s="921"/>
      <c r="G56" s="921"/>
      <c r="H56" s="921"/>
      <c r="I56" s="921"/>
      <c r="J56" s="921"/>
      <c r="K56" s="921"/>
      <c r="L56" s="921"/>
      <c r="M56" s="921"/>
      <c r="N56" s="5"/>
      <c r="O56" s="83"/>
      <c r="P56" s="327"/>
    </row>
    <row r="57" spans="3:16" ht="15" customHeight="1">
      <c r="C57" s="87"/>
      <c r="D57" s="13"/>
      <c r="E57" s="13"/>
      <c r="F57" s="13"/>
      <c r="G57" s="13"/>
      <c r="H57" s="13"/>
      <c r="I57" s="13"/>
      <c r="O57" s="83"/>
      <c r="P57" s="327"/>
    </row>
    <row r="58" spans="3:20" ht="15" customHeight="1">
      <c r="C58" s="87" t="s">
        <v>4</v>
      </c>
      <c r="D58" s="91">
        <f>D14</f>
        <v>0.0525</v>
      </c>
      <c r="E58" s="5" t="s">
        <v>8</v>
      </c>
      <c r="F58" s="12"/>
      <c r="G58" s="12"/>
      <c r="H58" s="12"/>
      <c r="I58" s="12"/>
      <c r="J58" s="810" t="s">
        <v>51</v>
      </c>
      <c r="K58" s="810"/>
      <c r="L58" s="922" t="str">
        <f>L14</f>
        <v>Sete Lagoas - MG</v>
      </c>
      <c r="M58" s="922"/>
      <c r="N58" s="922"/>
      <c r="O58" s="83"/>
      <c r="P58" s="327"/>
      <c r="S58" s="932" t="s">
        <v>37</v>
      </c>
      <c r="T58" s="932"/>
    </row>
    <row r="59" spans="3:16" ht="15" customHeight="1" thickBot="1">
      <c r="C59" s="87" t="s">
        <v>5</v>
      </c>
      <c r="D59" s="91">
        <f>D15</f>
        <v>0.7822</v>
      </c>
      <c r="E59" s="5" t="s">
        <v>7</v>
      </c>
      <c r="F59" s="8"/>
      <c r="G59" s="8"/>
      <c r="H59" s="8"/>
      <c r="I59" s="8"/>
      <c r="J59" s="6" t="s">
        <v>18</v>
      </c>
      <c r="K59" s="215">
        <f>K15</f>
        <v>10</v>
      </c>
      <c r="L59" s="5" t="s">
        <v>12</v>
      </c>
      <c r="M59" s="5"/>
      <c r="N59" s="5"/>
      <c r="O59" s="83"/>
      <c r="P59" s="327"/>
    </row>
    <row r="60" spans="3:23" ht="15" customHeight="1">
      <c r="C60" s="87" t="s">
        <v>6</v>
      </c>
      <c r="D60" s="91">
        <f>D58/D59</f>
        <v>0.06711838404500127</v>
      </c>
      <c r="E60" s="8" t="s">
        <v>7</v>
      </c>
      <c r="F60" s="92">
        <f>POWER($D$16,2/3)</f>
        <v>0.16515598932776016</v>
      </c>
      <c r="G60" s="8"/>
      <c r="H60" s="8"/>
      <c r="I60" s="8"/>
      <c r="J60" s="6" t="s">
        <v>17</v>
      </c>
      <c r="K60" s="215">
        <f>K16</f>
        <v>5</v>
      </c>
      <c r="L60" s="5" t="s">
        <v>13</v>
      </c>
      <c r="M60" s="5"/>
      <c r="N60" s="5"/>
      <c r="O60" s="83"/>
      <c r="P60" s="327"/>
      <c r="Q60" s="39" t="s">
        <v>15</v>
      </c>
      <c r="R60" s="306" t="s">
        <v>2</v>
      </c>
      <c r="S60" s="306" t="s">
        <v>16</v>
      </c>
      <c r="T60" s="41"/>
      <c r="U60" s="42"/>
      <c r="V60" s="42"/>
      <c r="W60" s="43"/>
    </row>
    <row r="61" spans="3:23" ht="15" customHeight="1">
      <c r="C61" s="87" t="s">
        <v>9</v>
      </c>
      <c r="D61" s="91">
        <f>'[1]BASE'!$D$17</f>
        <v>0.015</v>
      </c>
      <c r="E61" s="5"/>
      <c r="F61" s="5"/>
      <c r="G61" s="5"/>
      <c r="H61" s="5"/>
      <c r="I61" s="5"/>
      <c r="J61" s="6" t="s">
        <v>19</v>
      </c>
      <c r="K61" s="307">
        <f>K17</f>
        <v>148.68</v>
      </c>
      <c r="L61" s="8" t="s">
        <v>14</v>
      </c>
      <c r="M61" s="5"/>
      <c r="N61" s="5"/>
      <c r="O61" s="83"/>
      <c r="P61" s="327"/>
      <c r="Q61" s="329">
        <f>R61/S61</f>
        <v>1</v>
      </c>
      <c r="R61" s="330">
        <f>R17</f>
        <v>1</v>
      </c>
      <c r="S61" s="330">
        <f>S17</f>
        <v>1</v>
      </c>
      <c r="T61" s="32"/>
      <c r="U61" s="4"/>
      <c r="V61" s="35"/>
      <c r="W61" s="50"/>
    </row>
    <row r="62" spans="2:23" ht="12.75">
      <c r="B62" s="60"/>
      <c r="C62" s="184" t="s">
        <v>97</v>
      </c>
      <c r="D62" s="186">
        <f aca="true" t="shared" si="18" ref="D62:O62">D63*$D$14</f>
        <v>0.02890229813235803</v>
      </c>
      <c r="E62" s="186">
        <f t="shared" si="18"/>
        <v>0.0408740220025313</v>
      </c>
      <c r="F62" s="186">
        <f t="shared" si="18"/>
        <v>0.05780459626471606</v>
      </c>
      <c r="G62" s="186">
        <f t="shared" si="18"/>
        <v>0.07079588281807239</v>
      </c>
      <c r="H62" s="186">
        <f t="shared" si="18"/>
        <v>0.0817480440050626</v>
      </c>
      <c r="I62" s="186">
        <f t="shared" si="18"/>
        <v>0.09139709171148207</v>
      </c>
      <c r="J62" s="186">
        <f t="shared" si="18"/>
        <v>0.10012049764149436</v>
      </c>
      <c r="K62" s="186">
        <f t="shared" si="18"/>
        <v>0.10814249730168012</v>
      </c>
      <c r="L62" s="186">
        <f t="shared" si="18"/>
        <v>0.11560919252943212</v>
      </c>
      <c r="M62" s="186">
        <f t="shared" si="18"/>
        <v>0.12925500665983553</v>
      </c>
      <c r="N62" s="186">
        <f t="shared" si="18"/>
        <v>0.14159176563614478</v>
      </c>
      <c r="O62" s="187">
        <f t="shared" si="18"/>
        <v>0.15293658635293186</v>
      </c>
      <c r="P62" s="331"/>
      <c r="Q62" s="46" t="s">
        <v>139</v>
      </c>
      <c r="R62" s="311">
        <f>R18</f>
        <v>0.9</v>
      </c>
      <c r="S62" s="31"/>
      <c r="T62" s="38" t="s">
        <v>29</v>
      </c>
      <c r="U62" s="311">
        <v>12.2</v>
      </c>
      <c r="V62" s="5"/>
      <c r="W62" s="45"/>
    </row>
    <row r="63" spans="2:23" ht="12.75">
      <c r="B63" s="15"/>
      <c r="C63" s="185" t="s">
        <v>16</v>
      </c>
      <c r="D63" s="188">
        <f aca="true" t="shared" si="19" ref="D63:O63">($F$16/$D$17)*POWER(D66/100,1/2)</f>
        <v>0.5505199644258673</v>
      </c>
      <c r="E63" s="188">
        <f t="shared" si="19"/>
        <v>0.7785528000482153</v>
      </c>
      <c r="F63" s="188">
        <f t="shared" si="19"/>
        <v>1.1010399288517345</v>
      </c>
      <c r="G63" s="188">
        <f t="shared" si="19"/>
        <v>1.3484930060585218</v>
      </c>
      <c r="H63" s="188">
        <f t="shared" si="19"/>
        <v>1.5571056000964305</v>
      </c>
      <c r="I63" s="188">
        <f t="shared" si="19"/>
        <v>1.7408969849806109</v>
      </c>
      <c r="J63" s="188">
        <f t="shared" si="19"/>
        <v>1.907057097933226</v>
      </c>
      <c r="K63" s="188">
        <f t="shared" si="19"/>
        <v>2.059857091460574</v>
      </c>
      <c r="L63" s="188">
        <f t="shared" si="19"/>
        <v>2.202079857703469</v>
      </c>
      <c r="M63" s="188">
        <f t="shared" si="19"/>
        <v>2.46200012685401</v>
      </c>
      <c r="N63" s="188">
        <f t="shared" si="19"/>
        <v>2.6969860121170437</v>
      </c>
      <c r="O63" s="189">
        <f t="shared" si="19"/>
        <v>2.91307783529394</v>
      </c>
      <c r="P63" s="332">
        <v>0.4</v>
      </c>
      <c r="Q63" s="46" t="s">
        <v>140</v>
      </c>
      <c r="R63" s="311">
        <f>R19</f>
        <v>0.6</v>
      </c>
      <c r="S63" s="31"/>
      <c r="T63" s="38" t="s">
        <v>43</v>
      </c>
      <c r="U63" s="333">
        <f>U19</f>
        <v>0</v>
      </c>
      <c r="V63" s="314"/>
      <c r="W63" s="315"/>
    </row>
    <row r="64" spans="2:23" ht="12.75">
      <c r="B64" s="22"/>
      <c r="C64" s="23" t="s">
        <v>0</v>
      </c>
      <c r="D64" s="830" t="s">
        <v>20</v>
      </c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2"/>
      <c r="P64" s="334"/>
      <c r="Q64" s="46" t="s">
        <v>141</v>
      </c>
      <c r="R64" s="311">
        <f>R20</f>
        <v>0.35</v>
      </c>
      <c r="S64" s="31"/>
      <c r="T64" s="38" t="s">
        <v>44</v>
      </c>
      <c r="U64" s="311">
        <f>U20</f>
        <v>3</v>
      </c>
      <c r="V64" s="5"/>
      <c r="W64" s="315"/>
    </row>
    <row r="65" spans="2:23" ht="12.75">
      <c r="B65" s="6"/>
      <c r="C65" s="24" t="s">
        <v>46</v>
      </c>
      <c r="D65" s="915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7"/>
      <c r="P65" s="327"/>
      <c r="Q65" s="317"/>
      <c r="R65" s="35"/>
      <c r="S65" s="35"/>
      <c r="T65" s="35"/>
      <c r="U65" s="35"/>
      <c r="V65" s="35"/>
      <c r="W65" s="318"/>
    </row>
    <row r="66" spans="2:23" ht="12.75">
      <c r="B66" s="7"/>
      <c r="C66" s="27" t="s">
        <v>47</v>
      </c>
      <c r="D66" s="918">
        <f aca="true" t="shared" si="20" ref="D66:O66">D22</f>
        <v>0.25</v>
      </c>
      <c r="E66" s="911">
        <f t="shared" si="20"/>
        <v>0.5</v>
      </c>
      <c r="F66" s="911">
        <f t="shared" si="20"/>
        <v>1</v>
      </c>
      <c r="G66" s="911">
        <f t="shared" si="20"/>
        <v>1.5</v>
      </c>
      <c r="H66" s="911">
        <f t="shared" si="20"/>
        <v>2</v>
      </c>
      <c r="I66" s="911">
        <f t="shared" si="20"/>
        <v>2.5</v>
      </c>
      <c r="J66" s="911">
        <f t="shared" si="20"/>
        <v>3</v>
      </c>
      <c r="K66" s="911">
        <f t="shared" si="20"/>
        <v>3.5</v>
      </c>
      <c r="L66" s="911">
        <f t="shared" si="20"/>
        <v>4</v>
      </c>
      <c r="M66" s="911">
        <f t="shared" si="20"/>
        <v>5</v>
      </c>
      <c r="N66" s="911">
        <f t="shared" si="20"/>
        <v>6</v>
      </c>
      <c r="O66" s="913">
        <f t="shared" si="20"/>
        <v>7</v>
      </c>
      <c r="P66" s="327"/>
      <c r="Q66" s="47" t="s">
        <v>22</v>
      </c>
      <c r="R66" s="28" t="s">
        <v>21</v>
      </c>
      <c r="S66" s="28" t="s">
        <v>23</v>
      </c>
      <c r="T66" s="320"/>
      <c r="U66" s="18"/>
      <c r="V66" s="18" t="s">
        <v>3</v>
      </c>
      <c r="W66" s="335" t="s">
        <v>35</v>
      </c>
    </row>
    <row r="67" spans="2:23" ht="12.75">
      <c r="B67" s="22"/>
      <c r="C67" s="25" t="s">
        <v>1</v>
      </c>
      <c r="D67" s="919"/>
      <c r="E67" s="912"/>
      <c r="F67" s="912"/>
      <c r="G67" s="912"/>
      <c r="H67" s="912"/>
      <c r="I67" s="912"/>
      <c r="J67" s="912"/>
      <c r="K67" s="912"/>
      <c r="L67" s="912"/>
      <c r="M67" s="912"/>
      <c r="N67" s="912"/>
      <c r="O67" s="914"/>
      <c r="P67" s="327"/>
      <c r="Q67" s="49">
        <f>($D$14*$F$16)/$D$17</f>
        <v>0.5780459626471606</v>
      </c>
      <c r="R67" s="30"/>
      <c r="S67" s="26"/>
      <c r="T67" s="36"/>
      <c r="U67" s="4"/>
      <c r="V67" s="291" t="s">
        <v>36</v>
      </c>
      <c r="W67" s="322"/>
    </row>
    <row r="68" spans="2:23" ht="18" customHeight="1">
      <c r="B68" s="22"/>
      <c r="C68" s="64">
        <f aca="true" t="shared" si="21" ref="C68:C77">C24</f>
        <v>1</v>
      </c>
      <c r="D68" s="71">
        <f aca="true" t="shared" si="22" ref="D68:D77">(($Q$23/R68)/10)*SQRT($D$22)</f>
        <v>55.36453767316144</v>
      </c>
      <c r="E68" s="65">
        <f aca="true" t="shared" si="23" ref="E68:E77">(($Q$23/R68)/10)*SQRT($E$22)</f>
        <v>78.29728005190108</v>
      </c>
      <c r="F68" s="65">
        <f aca="true" t="shared" si="24" ref="F68:F77">(($Q$23/R68)/10)*SQRT($F$22)</f>
        <v>110.72907534632289</v>
      </c>
      <c r="G68" s="65">
        <f aca="true" t="shared" si="25" ref="G68:G77">(($Q$23/R68)/10)*SQRT($G$22)</f>
        <v>135.6148671443418</v>
      </c>
      <c r="H68" s="65">
        <f aca="true" t="shared" si="26" ref="H68:H77">(($Q$23/R68)/10)*SQRT($H$22)</f>
        <v>156.59456010380217</v>
      </c>
      <c r="I68" s="65">
        <f aca="true" t="shared" si="27" ref="I68:I77">(($Q$23/R68)/10)*SQRT($I$22)</f>
        <v>175.07804064938907</v>
      </c>
      <c r="J68" s="65">
        <f aca="true" t="shared" si="28" ref="J68:J77">(($Q$23/R68)/10)*SQRT($J$22)</f>
        <v>191.7883843749536</v>
      </c>
      <c r="K68" s="65">
        <f aca="true" t="shared" si="29" ref="K68:K77">(($Q$23/R68)/10)*SQRT($K$22)</f>
        <v>207.15513135010866</v>
      </c>
      <c r="L68" s="65">
        <f aca="true" t="shared" si="30" ref="L68:L77">(($Q$23/R68)/10)*SQRT($L$22)</f>
        <v>221.45815069264577</v>
      </c>
      <c r="M68" s="65">
        <f aca="true" t="shared" si="31" ref="M68:M77">(($Q$23/R68)/10)*SQRT($M$22)</f>
        <v>247.59773956007405</v>
      </c>
      <c r="N68" s="65">
        <f aca="true" t="shared" si="32" ref="N68:N77">(($Q$23/R68)/10)*SQRT($N$22)</f>
        <v>271.2297342886836</v>
      </c>
      <c r="O68" s="66">
        <f aca="true" t="shared" si="33" ref="O68:O77">(($Q$23/R68)/10)*SQRT($O$22)</f>
        <v>292.9615962705036</v>
      </c>
      <c r="P68" s="327"/>
      <c r="Q68" s="51"/>
      <c r="R68" s="29">
        <f aca="true" t="shared" si="34" ref="R68:R77">((0.278*$K$17*POWER(10,-6)*(($R$18*$U$62)+($R$19*W68)+($R$20*$U$20))))</f>
        <v>0.0005220362952</v>
      </c>
      <c r="S68" s="33">
        <f aca="true" t="shared" si="35" ref="S68:S77">($Q$23/R68)/10</f>
        <v>110.72907534632289</v>
      </c>
      <c r="T68" s="3"/>
      <c r="U68" s="10"/>
      <c r="V68" s="52">
        <f aca="true" t="shared" si="36" ref="V68:V77">C68</f>
        <v>1</v>
      </c>
      <c r="W68" s="336">
        <f aca="true" t="shared" si="37" ref="W68:W77">$Q$17*V68</f>
        <v>1</v>
      </c>
    </row>
    <row r="69" spans="2:23" ht="18" customHeight="1">
      <c r="B69" s="15"/>
      <c r="C69" s="64">
        <f t="shared" si="21"/>
        <v>2</v>
      </c>
      <c r="D69" s="71">
        <f t="shared" si="22"/>
        <v>52.8536742866235</v>
      </c>
      <c r="E69" s="67">
        <f t="shared" si="23"/>
        <v>74.74638299739308</v>
      </c>
      <c r="F69" s="67">
        <f t="shared" si="24"/>
        <v>105.707348573247</v>
      </c>
      <c r="G69" s="67">
        <f t="shared" si="25"/>
        <v>129.46453303348727</v>
      </c>
      <c r="H69" s="67">
        <f t="shared" si="26"/>
        <v>149.49276599478617</v>
      </c>
      <c r="I69" s="67">
        <f t="shared" si="27"/>
        <v>167.1379934544054</v>
      </c>
      <c r="J69" s="67">
        <f t="shared" si="28"/>
        <v>183.09049846225727</v>
      </c>
      <c r="K69" s="67">
        <f t="shared" si="29"/>
        <v>197.76034081268875</v>
      </c>
      <c r="L69" s="67">
        <f t="shared" si="30"/>
        <v>211.414697146494</v>
      </c>
      <c r="M69" s="67">
        <f t="shared" si="31"/>
        <v>236.36881713104572</v>
      </c>
      <c r="N69" s="67">
        <f t="shared" si="32"/>
        <v>258.92906606697454</v>
      </c>
      <c r="O69" s="68">
        <f t="shared" si="33"/>
        <v>279.6753560768299</v>
      </c>
      <c r="P69" s="327"/>
      <c r="Q69" s="51"/>
      <c r="R69" s="30">
        <f t="shared" si="34"/>
        <v>0.0005468361192</v>
      </c>
      <c r="S69" s="26">
        <f t="shared" si="35"/>
        <v>105.707348573247</v>
      </c>
      <c r="T69" s="3"/>
      <c r="U69" s="10"/>
      <c r="V69" s="52">
        <f t="shared" si="36"/>
        <v>2</v>
      </c>
      <c r="W69" s="336">
        <f t="shared" si="37"/>
        <v>2</v>
      </c>
    </row>
    <row r="70" spans="2:23" ht="18" customHeight="1">
      <c r="B70" s="14"/>
      <c r="C70" s="64">
        <f t="shared" si="21"/>
        <v>2.5</v>
      </c>
      <c r="D70" s="71">
        <f t="shared" si="22"/>
        <v>51.681752462086386</v>
      </c>
      <c r="E70" s="67">
        <f t="shared" si="23"/>
        <v>73.08903525909167</v>
      </c>
      <c r="F70" s="67">
        <f t="shared" si="24"/>
        <v>103.36350492417277</v>
      </c>
      <c r="G70" s="67">
        <f t="shared" si="25"/>
        <v>126.59392254493986</v>
      </c>
      <c r="H70" s="67">
        <f t="shared" si="26"/>
        <v>146.17807051818335</v>
      </c>
      <c r="I70" s="67">
        <f t="shared" si="27"/>
        <v>163.43205124920792</v>
      </c>
      <c r="J70" s="67">
        <f t="shared" si="28"/>
        <v>179.03084217706308</v>
      </c>
      <c r="K70" s="67">
        <f t="shared" si="29"/>
        <v>193.37541086118785</v>
      </c>
      <c r="L70" s="67">
        <f t="shared" si="30"/>
        <v>206.72700984834555</v>
      </c>
      <c r="M70" s="67">
        <f t="shared" si="31"/>
        <v>231.12782340308456</v>
      </c>
      <c r="N70" s="67">
        <f t="shared" si="32"/>
        <v>253.18784508987972</v>
      </c>
      <c r="O70" s="68">
        <f t="shared" si="33"/>
        <v>273.4741286693614</v>
      </c>
      <c r="P70" s="327"/>
      <c r="Q70" s="51"/>
      <c r="R70" s="30">
        <f t="shared" si="34"/>
        <v>0.0005592360312000001</v>
      </c>
      <c r="S70" s="26">
        <f t="shared" si="35"/>
        <v>103.36350492417277</v>
      </c>
      <c r="T70" s="3"/>
      <c r="U70" s="10"/>
      <c r="V70" s="52">
        <f t="shared" si="36"/>
        <v>2.5</v>
      </c>
      <c r="W70" s="336">
        <f t="shared" si="37"/>
        <v>2.5</v>
      </c>
    </row>
    <row r="71" spans="3:23" ht="18" customHeight="1">
      <c r="C71" s="64">
        <f t="shared" si="21"/>
        <v>3</v>
      </c>
      <c r="D71" s="71">
        <f t="shared" si="22"/>
        <v>50.56067323297389</v>
      </c>
      <c r="E71" s="67">
        <f t="shared" si="23"/>
        <v>71.503589808786</v>
      </c>
      <c r="F71" s="67">
        <f t="shared" si="24"/>
        <v>101.12134646594778</v>
      </c>
      <c r="G71" s="67">
        <f t="shared" si="25"/>
        <v>123.84785047238152</v>
      </c>
      <c r="H71" s="67">
        <f t="shared" si="26"/>
        <v>143.007179617572</v>
      </c>
      <c r="I71" s="67">
        <f t="shared" si="27"/>
        <v>159.8868874477067</v>
      </c>
      <c r="J71" s="67">
        <f t="shared" si="28"/>
        <v>175.14730980879708</v>
      </c>
      <c r="K71" s="67">
        <f t="shared" si="29"/>
        <v>189.18071648242025</v>
      </c>
      <c r="L71" s="67">
        <f t="shared" si="30"/>
        <v>202.24269293189556</v>
      </c>
      <c r="M71" s="67">
        <f t="shared" si="31"/>
        <v>226.11420467416738</v>
      </c>
      <c r="N71" s="67">
        <f t="shared" si="32"/>
        <v>247.69570094476305</v>
      </c>
      <c r="O71" s="68">
        <f t="shared" si="33"/>
        <v>267.54193498889805</v>
      </c>
      <c r="P71" s="327"/>
      <c r="Q71" s="51"/>
      <c r="R71" s="30">
        <f t="shared" si="34"/>
        <v>0.0005716359432000001</v>
      </c>
      <c r="S71" s="26">
        <f t="shared" si="35"/>
        <v>101.12134646594778</v>
      </c>
      <c r="T71" s="3"/>
      <c r="U71" s="10"/>
      <c r="V71" s="52">
        <f t="shared" si="36"/>
        <v>3</v>
      </c>
      <c r="W71" s="336">
        <f t="shared" si="37"/>
        <v>3</v>
      </c>
    </row>
    <row r="72" spans="2:23" ht="18" customHeight="1">
      <c r="B72" s="14"/>
      <c r="C72" s="64">
        <f t="shared" si="21"/>
        <v>3.5</v>
      </c>
      <c r="D72" s="71">
        <f t="shared" si="22"/>
        <v>49.48719821741182</v>
      </c>
      <c r="E72" s="67">
        <f t="shared" si="23"/>
        <v>69.98546688290946</v>
      </c>
      <c r="F72" s="67">
        <f t="shared" si="24"/>
        <v>98.97439643482365</v>
      </c>
      <c r="G72" s="67">
        <f t="shared" si="25"/>
        <v>121.21838443262823</v>
      </c>
      <c r="H72" s="67">
        <f t="shared" si="26"/>
        <v>139.97093376581893</v>
      </c>
      <c r="I72" s="67">
        <f t="shared" si="27"/>
        <v>156.49226138724586</v>
      </c>
      <c r="J72" s="67">
        <f t="shared" si="28"/>
        <v>171.42868327357849</v>
      </c>
      <c r="K72" s="67">
        <f t="shared" si="29"/>
        <v>185.16414076092516</v>
      </c>
      <c r="L72" s="67">
        <f t="shared" si="30"/>
        <v>197.9487928696473</v>
      </c>
      <c r="M72" s="67">
        <f t="shared" si="31"/>
        <v>221.3134784602785</v>
      </c>
      <c r="N72" s="67">
        <f t="shared" si="32"/>
        <v>242.43676886525645</v>
      </c>
      <c r="O72" s="68">
        <f t="shared" si="33"/>
        <v>261.8616391292612</v>
      </c>
      <c r="P72" s="327"/>
      <c r="Q72" s="51"/>
      <c r="R72" s="30">
        <f t="shared" si="34"/>
        <v>0.0005840358552</v>
      </c>
      <c r="S72" s="26">
        <f t="shared" si="35"/>
        <v>98.97439643482365</v>
      </c>
      <c r="T72" s="3"/>
      <c r="U72" s="10"/>
      <c r="V72" s="52">
        <f t="shared" si="36"/>
        <v>3.5</v>
      </c>
      <c r="W72" s="336">
        <f t="shared" si="37"/>
        <v>3.5</v>
      </c>
    </row>
    <row r="73" spans="3:23" ht="18" customHeight="1">
      <c r="C73" s="64">
        <f t="shared" si="21"/>
        <v>4</v>
      </c>
      <c r="D73" s="71">
        <f t="shared" si="22"/>
        <v>48.45835833763195</v>
      </c>
      <c r="E73" s="67">
        <f t="shared" si="23"/>
        <v>68.53046757141446</v>
      </c>
      <c r="F73" s="67">
        <f t="shared" si="24"/>
        <v>96.9167166752639</v>
      </c>
      <c r="G73" s="67">
        <f t="shared" si="25"/>
        <v>118.69825170014114</v>
      </c>
      <c r="H73" s="67">
        <f t="shared" si="26"/>
        <v>137.06093514282892</v>
      </c>
      <c r="I73" s="67">
        <f t="shared" si="27"/>
        <v>153.23878401952766</v>
      </c>
      <c r="J73" s="67">
        <f t="shared" si="28"/>
        <v>167.86467738431492</v>
      </c>
      <c r="K73" s="67">
        <f t="shared" si="29"/>
        <v>181.3145744249392</v>
      </c>
      <c r="L73" s="67">
        <f t="shared" si="30"/>
        <v>193.8334333505278</v>
      </c>
      <c r="M73" s="67">
        <f t="shared" si="31"/>
        <v>216.7123666419775</v>
      </c>
      <c r="N73" s="67">
        <f t="shared" si="32"/>
        <v>237.39650340028228</v>
      </c>
      <c r="O73" s="68">
        <f t="shared" si="33"/>
        <v>256.4175302076549</v>
      </c>
      <c r="P73" s="327"/>
      <c r="Q73" s="51"/>
      <c r="R73" s="30">
        <f t="shared" si="34"/>
        <v>0.0005964357672</v>
      </c>
      <c r="S73" s="26">
        <f t="shared" si="35"/>
        <v>96.9167166752639</v>
      </c>
      <c r="T73" s="3"/>
      <c r="U73" s="10"/>
      <c r="V73" s="52">
        <f t="shared" si="36"/>
        <v>4</v>
      </c>
      <c r="W73" s="336">
        <f t="shared" si="37"/>
        <v>4</v>
      </c>
    </row>
    <row r="74" spans="3:23" ht="18" customHeight="1">
      <c r="C74" s="64">
        <f t="shared" si="21"/>
        <v>5</v>
      </c>
      <c r="D74" s="71">
        <f t="shared" si="22"/>
        <v>46.52389293493207</v>
      </c>
      <c r="E74" s="67">
        <f t="shared" si="23"/>
        <v>65.79472036297476</v>
      </c>
      <c r="F74" s="67">
        <f t="shared" si="24"/>
        <v>93.04778586986414</v>
      </c>
      <c r="G74" s="67">
        <f t="shared" si="25"/>
        <v>113.95979853845887</v>
      </c>
      <c r="H74" s="67">
        <f t="shared" si="26"/>
        <v>131.58944072594952</v>
      </c>
      <c r="I74" s="67">
        <f t="shared" si="27"/>
        <v>147.1214672922012</v>
      </c>
      <c r="J74" s="67">
        <f t="shared" si="28"/>
        <v>161.16349265839415</v>
      </c>
      <c r="K74" s="67">
        <f t="shared" si="29"/>
        <v>174.07646766146857</v>
      </c>
      <c r="L74" s="67">
        <f t="shared" si="30"/>
        <v>186.09557173972829</v>
      </c>
      <c r="M74" s="67">
        <f t="shared" si="31"/>
        <v>208.06117436086063</v>
      </c>
      <c r="N74" s="67">
        <f t="shared" si="32"/>
        <v>227.91959707691774</v>
      </c>
      <c r="O74" s="68">
        <f t="shared" si="33"/>
        <v>246.18130145685035</v>
      </c>
      <c r="P74" s="327"/>
      <c r="Q74" s="51"/>
      <c r="R74" s="30">
        <f t="shared" si="34"/>
        <v>0.0006212355912</v>
      </c>
      <c r="S74" s="26">
        <f t="shared" si="35"/>
        <v>93.04778586986414</v>
      </c>
      <c r="T74" s="3"/>
      <c r="U74" s="10"/>
      <c r="V74" s="52">
        <f t="shared" si="36"/>
        <v>5</v>
      </c>
      <c r="W74" s="336">
        <f t="shared" si="37"/>
        <v>5</v>
      </c>
    </row>
    <row r="75" spans="3:23" ht="18" customHeight="1">
      <c r="C75" s="64">
        <f t="shared" si="21"/>
        <v>6</v>
      </c>
      <c r="D75" s="71">
        <f t="shared" si="22"/>
        <v>44.737946948946195</v>
      </c>
      <c r="E75" s="67">
        <f t="shared" si="23"/>
        <v>63.26901132792774</v>
      </c>
      <c r="F75" s="67">
        <f t="shared" si="24"/>
        <v>89.47589389789239</v>
      </c>
      <c r="G75" s="67">
        <f t="shared" si="25"/>
        <v>109.58514216462167</v>
      </c>
      <c r="H75" s="67">
        <f t="shared" si="26"/>
        <v>126.53802265585549</v>
      </c>
      <c r="I75" s="67">
        <f t="shared" si="27"/>
        <v>141.47381019845068</v>
      </c>
      <c r="J75" s="67">
        <f t="shared" si="28"/>
        <v>154.9767942837917</v>
      </c>
      <c r="K75" s="67">
        <f t="shared" si="29"/>
        <v>167.39406967062524</v>
      </c>
      <c r="L75" s="67">
        <f t="shared" si="30"/>
        <v>178.95178779578478</v>
      </c>
      <c r="M75" s="67">
        <f t="shared" si="31"/>
        <v>200.07418110324602</v>
      </c>
      <c r="N75" s="67">
        <f t="shared" si="32"/>
        <v>219.17028432924334</v>
      </c>
      <c r="O75" s="68">
        <f t="shared" si="33"/>
        <v>236.730963589025</v>
      </c>
      <c r="P75" s="327"/>
      <c r="Q75" s="51"/>
      <c r="R75" s="30">
        <f t="shared" si="34"/>
        <v>0.0006460354152</v>
      </c>
      <c r="S75" s="26">
        <f t="shared" si="35"/>
        <v>89.47589389789239</v>
      </c>
      <c r="T75" s="3"/>
      <c r="U75" s="10"/>
      <c r="V75" s="52">
        <f t="shared" si="36"/>
        <v>6</v>
      </c>
      <c r="W75" s="336">
        <f t="shared" si="37"/>
        <v>6</v>
      </c>
    </row>
    <row r="76" spans="2:23" ht="18" customHeight="1">
      <c r="B76" s="20"/>
      <c r="C76" s="64">
        <f t="shared" si="21"/>
        <v>7</v>
      </c>
      <c r="D76" s="71">
        <f t="shared" si="22"/>
        <v>43.08404872532526</v>
      </c>
      <c r="E76" s="67">
        <f t="shared" si="23"/>
        <v>60.930046029298246</v>
      </c>
      <c r="F76" s="67">
        <f t="shared" si="24"/>
        <v>86.16809745065052</v>
      </c>
      <c r="G76" s="67">
        <f t="shared" si="25"/>
        <v>105.53393543025487</v>
      </c>
      <c r="H76" s="67">
        <f t="shared" si="26"/>
        <v>121.86009205859649</v>
      </c>
      <c r="I76" s="67">
        <f t="shared" si="27"/>
        <v>136.24372479370203</v>
      </c>
      <c r="J76" s="67">
        <f t="shared" si="28"/>
        <v>149.24752277607294</v>
      </c>
      <c r="K76" s="67">
        <f t="shared" si="29"/>
        <v>161.20574916524168</v>
      </c>
      <c r="L76" s="67">
        <f t="shared" si="30"/>
        <v>172.33619490130104</v>
      </c>
      <c r="M76" s="67">
        <f t="shared" si="31"/>
        <v>192.6777233914809</v>
      </c>
      <c r="N76" s="67">
        <f t="shared" si="32"/>
        <v>211.06787086050974</v>
      </c>
      <c r="O76" s="68">
        <f t="shared" si="33"/>
        <v>227.97935680200004</v>
      </c>
      <c r="P76" s="327"/>
      <c r="Q76" s="51"/>
      <c r="R76" s="30">
        <f t="shared" si="34"/>
        <v>0.0006708352392</v>
      </c>
      <c r="S76" s="26">
        <f t="shared" si="35"/>
        <v>86.16809745065052</v>
      </c>
      <c r="T76" s="3"/>
      <c r="U76" s="10"/>
      <c r="V76" s="52">
        <f t="shared" si="36"/>
        <v>7</v>
      </c>
      <c r="W76" s="336">
        <f t="shared" si="37"/>
        <v>7</v>
      </c>
    </row>
    <row r="77" spans="3:23" ht="18" customHeight="1" thickBot="1">
      <c r="C77" s="64">
        <f t="shared" si="21"/>
        <v>8</v>
      </c>
      <c r="D77" s="71">
        <f t="shared" si="22"/>
        <v>41.54807550873612</v>
      </c>
      <c r="E77" s="69">
        <f t="shared" si="23"/>
        <v>58.75785187495605</v>
      </c>
      <c r="F77" s="69">
        <f t="shared" si="24"/>
        <v>83.09615101747224</v>
      </c>
      <c r="G77" s="69">
        <f t="shared" si="25"/>
        <v>101.7715847910301</v>
      </c>
      <c r="H77" s="69">
        <f t="shared" si="26"/>
        <v>117.5157037499121</v>
      </c>
      <c r="I77" s="69">
        <f t="shared" si="27"/>
        <v>131.38655100426521</v>
      </c>
      <c r="J77" s="69">
        <f t="shared" si="28"/>
        <v>143.92675547567816</v>
      </c>
      <c r="K77" s="69">
        <f t="shared" si="29"/>
        <v>155.458663633504</v>
      </c>
      <c r="L77" s="69">
        <f t="shared" si="30"/>
        <v>166.19230203494448</v>
      </c>
      <c r="M77" s="69">
        <f t="shared" si="31"/>
        <v>185.80864234365626</v>
      </c>
      <c r="N77" s="69">
        <f t="shared" si="32"/>
        <v>203.5431695820602</v>
      </c>
      <c r="O77" s="70">
        <f t="shared" si="33"/>
        <v>219.85175049889838</v>
      </c>
      <c r="P77" s="327"/>
      <c r="Q77" s="53"/>
      <c r="R77" s="54">
        <f t="shared" si="34"/>
        <v>0.0006956350632000001</v>
      </c>
      <c r="S77" s="55">
        <f t="shared" si="35"/>
        <v>83.09615101747224</v>
      </c>
      <c r="T77" s="56"/>
      <c r="U77" s="57"/>
      <c r="V77" s="58">
        <f t="shared" si="36"/>
        <v>8</v>
      </c>
      <c r="W77" s="337">
        <f t="shared" si="37"/>
        <v>8</v>
      </c>
    </row>
    <row r="78" spans="2:16" ht="18" customHeight="1">
      <c r="B78" s="21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  <c r="P78" s="327"/>
    </row>
    <row r="79" spans="3:16" ht="18" customHeight="1">
      <c r="C79" s="82"/>
      <c r="D79" s="6" t="s">
        <v>31</v>
      </c>
      <c r="E79" s="920">
        <f>Q84</f>
        <v>1398.508221624058</v>
      </c>
      <c r="F79" s="920"/>
      <c r="G79" s="3" t="s">
        <v>33</v>
      </c>
      <c r="H79" s="183" t="s">
        <v>280</v>
      </c>
      <c r="I79" s="606">
        <f>R62</f>
        <v>0.9</v>
      </c>
      <c r="J79" s="3" t="s">
        <v>281</v>
      </c>
      <c r="K79" s="606">
        <f>R63</f>
        <v>0.6</v>
      </c>
      <c r="L79" s="3" t="s">
        <v>282</v>
      </c>
      <c r="M79" s="606">
        <f>R64</f>
        <v>0.35</v>
      </c>
      <c r="N79" s="3" t="s">
        <v>283</v>
      </c>
      <c r="O79" s="83" t="s">
        <v>284</v>
      </c>
      <c r="P79" s="327"/>
    </row>
    <row r="80" spans="3:21" ht="15" customHeight="1">
      <c r="C80" s="8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3"/>
      <c r="P80" s="327"/>
      <c r="T80" s="1"/>
      <c r="U80" s="1"/>
    </row>
    <row r="81" spans="3:21" ht="15" customHeight="1">
      <c r="C81" s="8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3"/>
      <c r="P81" s="327"/>
      <c r="S81" s="338"/>
      <c r="T81" s="338"/>
      <c r="U81" s="1"/>
    </row>
    <row r="82" spans="3:21" ht="15" customHeight="1">
      <c r="C82" s="82"/>
      <c r="D82" s="6" t="s">
        <v>31</v>
      </c>
      <c r="E82" s="5" t="s">
        <v>25</v>
      </c>
      <c r="F82" s="5"/>
      <c r="G82" s="5"/>
      <c r="H82" s="5"/>
      <c r="I82" s="5"/>
      <c r="J82" s="5"/>
      <c r="K82" s="5"/>
      <c r="L82" s="5"/>
      <c r="M82" s="5"/>
      <c r="N82" s="5"/>
      <c r="O82" s="83"/>
      <c r="P82" s="327"/>
      <c r="Q82" s="97">
        <f>Q67</f>
        <v>0.5780459626471606</v>
      </c>
      <c r="T82" s="1"/>
      <c r="U82" s="1"/>
    </row>
    <row r="83" spans="3:21" ht="15" customHeight="1">
      <c r="C83" s="82"/>
      <c r="D83" s="6" t="s">
        <v>32</v>
      </c>
      <c r="E83" s="5" t="s">
        <v>26</v>
      </c>
      <c r="F83" s="5"/>
      <c r="G83" s="5"/>
      <c r="H83" s="5"/>
      <c r="I83" s="5"/>
      <c r="J83" s="5"/>
      <c r="K83" s="5"/>
      <c r="L83" s="5"/>
      <c r="M83" s="5"/>
      <c r="N83" s="5"/>
      <c r="O83" s="83"/>
      <c r="P83" s="327"/>
      <c r="Q83" s="98">
        <f>((0.278*$K$61*POWER(10,-6)))</f>
        <v>4.133304E-05</v>
      </c>
      <c r="T83" s="1"/>
      <c r="U83" s="1"/>
    </row>
    <row r="84" spans="3:21" ht="15" customHeight="1">
      <c r="C84" s="82"/>
      <c r="D84" s="6" t="s">
        <v>29</v>
      </c>
      <c r="E84" s="5" t="s">
        <v>27</v>
      </c>
      <c r="F84" s="5"/>
      <c r="G84" s="5"/>
      <c r="H84" s="5"/>
      <c r="I84" s="5"/>
      <c r="J84" s="5"/>
      <c r="K84" s="5"/>
      <c r="L84" s="119">
        <f>U62</f>
        <v>12.2</v>
      </c>
      <c r="M84" s="5"/>
      <c r="N84" s="5"/>
      <c r="O84" s="83"/>
      <c r="P84" s="327"/>
      <c r="Q84" s="102">
        <f>(Q82/Q83)/10</f>
        <v>1398.508221624058</v>
      </c>
      <c r="T84" s="1"/>
      <c r="U84" s="1"/>
    </row>
    <row r="85" spans="3:21" ht="15" customHeight="1">
      <c r="C85" s="82"/>
      <c r="D85" s="6" t="s">
        <v>43</v>
      </c>
      <c r="E85" s="5" t="s">
        <v>28</v>
      </c>
      <c r="F85" s="5"/>
      <c r="G85" s="5"/>
      <c r="H85" s="5"/>
      <c r="I85" s="5"/>
      <c r="J85" s="5"/>
      <c r="K85" s="5"/>
      <c r="L85" s="9" t="s">
        <v>34</v>
      </c>
      <c r="M85" s="5"/>
      <c r="N85" s="5"/>
      <c r="O85" s="83"/>
      <c r="P85" s="327"/>
      <c r="Q85" s="99"/>
      <c r="T85" s="1"/>
      <c r="U85" s="1"/>
    </row>
    <row r="86" spans="3:21" ht="15" customHeight="1">
      <c r="C86" s="82"/>
      <c r="D86" s="6" t="s">
        <v>44</v>
      </c>
      <c r="E86" s="5" t="s">
        <v>30</v>
      </c>
      <c r="F86" s="5"/>
      <c r="G86" s="5"/>
      <c r="H86" s="5"/>
      <c r="I86" s="5"/>
      <c r="J86" s="5"/>
      <c r="K86" s="5"/>
      <c r="L86" s="119">
        <f>U64</f>
        <v>3</v>
      </c>
      <c r="M86" s="5"/>
      <c r="N86" s="5"/>
      <c r="O86" s="83"/>
      <c r="P86" s="327"/>
      <c r="Q86" s="100"/>
      <c r="T86" s="1"/>
      <c r="U86" s="1"/>
    </row>
    <row r="87" spans="3:21" ht="12.75" customHeight="1">
      <c r="C87" s="82"/>
      <c r="M87" s="5"/>
      <c r="N87" s="5"/>
      <c r="O87" s="83"/>
      <c r="P87" s="327"/>
      <c r="R87" s="101"/>
      <c r="T87" s="1"/>
      <c r="U87" s="1"/>
    </row>
    <row r="88" spans="3:21" ht="30" customHeight="1">
      <c r="C88" s="8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85"/>
      <c r="P88" s="327"/>
      <c r="T88" s="1"/>
      <c r="U88" s="1"/>
    </row>
    <row r="89" spans="3:15" ht="6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3:16" ht="19.5" customHeight="1">
      <c r="C90" s="878"/>
      <c r="D90" s="879"/>
      <c r="E90" s="879"/>
      <c r="F90" s="880"/>
      <c r="G90" s="861" t="str">
        <f>G2</f>
        <v>PROJETO  DE  DRENAGEM</v>
      </c>
      <c r="H90" s="862"/>
      <c r="I90" s="862"/>
      <c r="J90" s="862"/>
      <c r="K90" s="862"/>
      <c r="L90" s="862"/>
      <c r="M90" s="862"/>
      <c r="N90" s="862"/>
      <c r="O90" s="863"/>
      <c r="P90" s="339"/>
    </row>
    <row r="91" spans="3:16" ht="19.5" customHeight="1">
      <c r="C91" s="881"/>
      <c r="D91" s="882"/>
      <c r="E91" s="882"/>
      <c r="F91" s="883"/>
      <c r="G91" s="864" t="str">
        <f>G3</f>
        <v>Rodovia: MG-424</v>
      </c>
      <c r="H91" s="865"/>
      <c r="I91" s="865"/>
      <c r="J91" s="865"/>
      <c r="K91" s="865"/>
      <c r="L91" s="865"/>
      <c r="M91" s="865"/>
      <c r="N91" s="865"/>
      <c r="O91" s="866"/>
      <c r="P91" s="339"/>
    </row>
    <row r="92" spans="3:16" ht="19.5" customHeight="1">
      <c r="C92" s="881"/>
      <c r="D92" s="882"/>
      <c r="E92" s="882"/>
      <c r="F92" s="883"/>
      <c r="G92" s="864" t="str">
        <f>G4</f>
        <v>Trecho: Entroncamento MG-010  -  Sete Lagoas</v>
      </c>
      <c r="H92" s="865"/>
      <c r="I92" s="865"/>
      <c r="J92" s="865"/>
      <c r="K92" s="865"/>
      <c r="L92" s="865"/>
      <c r="M92" s="865"/>
      <c r="N92" s="865"/>
      <c r="O92" s="866"/>
      <c r="P92" s="339"/>
    </row>
    <row r="93" spans="3:16" ht="19.5" customHeight="1">
      <c r="C93" s="884"/>
      <c r="D93" s="885"/>
      <c r="E93" s="885"/>
      <c r="F93" s="886"/>
      <c r="G93" s="924" t="e">
        <f>G5</f>
        <v>#REF!</v>
      </c>
      <c r="H93" s="925"/>
      <c r="I93" s="925"/>
      <c r="J93" s="925"/>
      <c r="K93" s="925"/>
      <c r="L93" s="925"/>
      <c r="M93" s="925"/>
      <c r="N93" s="925"/>
      <c r="O93" s="926"/>
      <c r="P93" s="339"/>
    </row>
    <row r="94" spans="3:16" ht="12.75">
      <c r="C94" s="8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3"/>
      <c r="P94" s="339"/>
    </row>
    <row r="95" spans="2:16" s="75" customFormat="1" ht="21" customHeight="1">
      <c r="B95" s="74"/>
      <c r="C95" s="86"/>
      <c r="D95" s="828" t="str">
        <f>D51</f>
        <v>COMPRIMENTO  CRÍTICO DE SARJETA DE CORTE</v>
      </c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90"/>
      <c r="P95" s="340"/>
    </row>
    <row r="96" spans="2:16" s="75" customFormat="1" ht="12.75" customHeight="1">
      <c r="B96" s="74"/>
      <c r="C96" s="103"/>
      <c r="D96" s="825" t="s">
        <v>53</v>
      </c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90"/>
      <c r="P96" s="340"/>
    </row>
    <row r="97" spans="3:16" ht="18.75" customHeight="1">
      <c r="C97" s="8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3"/>
      <c r="P97" s="339"/>
    </row>
    <row r="98" spans="3:16" ht="12.75">
      <c r="C98" s="82"/>
      <c r="D98" s="823" t="str">
        <f>D54</f>
        <v>TIPO:  SCC - 70/15</v>
      </c>
      <c r="E98" s="823"/>
      <c r="F98" s="823"/>
      <c r="G98" s="823"/>
      <c r="H98" s="823"/>
      <c r="I98" s="823"/>
      <c r="J98" s="823"/>
      <c r="K98" s="823"/>
      <c r="L98" s="823"/>
      <c r="M98" s="823"/>
      <c r="N98" s="5"/>
      <c r="O98" s="83"/>
      <c r="P98" s="339"/>
    </row>
    <row r="99" spans="3:16" ht="12.75">
      <c r="C99" s="82"/>
      <c r="M99" s="5"/>
      <c r="N99" s="5"/>
      <c r="O99" s="83"/>
      <c r="P99" s="339"/>
    </row>
    <row r="100" spans="3:16" ht="12.75">
      <c r="C100" s="82"/>
      <c r="D100" s="921" t="s">
        <v>24</v>
      </c>
      <c r="E100" s="921"/>
      <c r="F100" s="921"/>
      <c r="G100" s="921"/>
      <c r="H100" s="921"/>
      <c r="I100" s="921"/>
      <c r="J100" s="921"/>
      <c r="K100" s="921"/>
      <c r="L100" s="921"/>
      <c r="M100" s="921"/>
      <c r="N100" s="5"/>
      <c r="O100" s="83"/>
      <c r="P100" s="339"/>
    </row>
    <row r="101" spans="3:16" ht="15" customHeight="1">
      <c r="C101" s="87"/>
      <c r="D101" s="13"/>
      <c r="E101" s="13"/>
      <c r="F101" s="13"/>
      <c r="G101" s="13"/>
      <c r="H101" s="13"/>
      <c r="I101" s="13"/>
      <c r="O101" s="83"/>
      <c r="P101" s="339"/>
    </row>
    <row r="102" spans="3:20" ht="15" customHeight="1">
      <c r="C102" s="87" t="s">
        <v>4</v>
      </c>
      <c r="D102" s="91">
        <f>D58</f>
        <v>0.0525</v>
      </c>
      <c r="E102" s="5" t="s">
        <v>8</v>
      </c>
      <c r="F102" s="12"/>
      <c r="G102" s="12"/>
      <c r="H102" s="12"/>
      <c r="I102" s="12"/>
      <c r="J102" s="810" t="s">
        <v>51</v>
      </c>
      <c r="K102" s="810"/>
      <c r="L102" s="922" t="str">
        <f>L14</f>
        <v>Sete Lagoas - MG</v>
      </c>
      <c r="M102" s="922"/>
      <c r="N102" s="922"/>
      <c r="O102" s="83"/>
      <c r="P102" s="339"/>
      <c r="S102" s="932" t="s">
        <v>37</v>
      </c>
      <c r="T102" s="932"/>
    </row>
    <row r="103" spans="3:16" ht="15" customHeight="1" thickBot="1">
      <c r="C103" s="87" t="s">
        <v>5</v>
      </c>
      <c r="D103" s="91">
        <f>D59</f>
        <v>0.7822</v>
      </c>
      <c r="E103" s="5" t="s">
        <v>7</v>
      </c>
      <c r="F103" s="8"/>
      <c r="G103" s="8"/>
      <c r="H103" s="8"/>
      <c r="I103" s="8"/>
      <c r="J103" s="6" t="s">
        <v>18</v>
      </c>
      <c r="K103" s="215">
        <f>K15</f>
        <v>10</v>
      </c>
      <c r="L103" s="5" t="s">
        <v>12</v>
      </c>
      <c r="M103" s="5"/>
      <c r="N103" s="5"/>
      <c r="O103" s="83"/>
      <c r="P103" s="339"/>
    </row>
    <row r="104" spans="3:23" ht="15" customHeight="1">
      <c r="C104" s="87" t="s">
        <v>6</v>
      </c>
      <c r="D104" s="91">
        <f>D102/D103</f>
        <v>0.06711838404500127</v>
      </c>
      <c r="E104" s="8" t="s">
        <v>7</v>
      </c>
      <c r="F104" s="92">
        <f>POWER($D$16,2/3)</f>
        <v>0.16515598932776016</v>
      </c>
      <c r="G104" s="8"/>
      <c r="H104" s="8"/>
      <c r="I104" s="8"/>
      <c r="J104" s="6" t="s">
        <v>17</v>
      </c>
      <c r="K104" s="215">
        <f>K16</f>
        <v>5</v>
      </c>
      <c r="L104" s="5" t="s">
        <v>13</v>
      </c>
      <c r="M104" s="5"/>
      <c r="N104" s="5"/>
      <c r="O104" s="83"/>
      <c r="P104" s="339"/>
      <c r="Q104" s="39" t="s">
        <v>15</v>
      </c>
      <c r="R104" s="306" t="s">
        <v>2</v>
      </c>
      <c r="S104" s="306" t="s">
        <v>16</v>
      </c>
      <c r="T104" s="41"/>
      <c r="U104" s="42"/>
      <c r="V104" s="42"/>
      <c r="W104" s="43"/>
    </row>
    <row r="105" spans="3:23" ht="15" customHeight="1">
      <c r="C105" s="87" t="s">
        <v>9</v>
      </c>
      <c r="D105" s="91">
        <f>'[1]BASE'!$D$17</f>
        <v>0.015</v>
      </c>
      <c r="E105" s="5"/>
      <c r="F105" s="5"/>
      <c r="G105" s="5"/>
      <c r="H105" s="5"/>
      <c r="I105" s="5"/>
      <c r="J105" s="6" t="s">
        <v>19</v>
      </c>
      <c r="K105" s="307">
        <f>K17</f>
        <v>148.68</v>
      </c>
      <c r="L105" s="8" t="s">
        <v>14</v>
      </c>
      <c r="M105" s="5"/>
      <c r="N105" s="5"/>
      <c r="O105" s="83"/>
      <c r="P105" s="339"/>
      <c r="Q105" s="329">
        <f>R105/S105</f>
        <v>1</v>
      </c>
      <c r="R105" s="330">
        <f>R61</f>
        <v>1</v>
      </c>
      <c r="S105" s="330">
        <f>S61</f>
        <v>1</v>
      </c>
      <c r="T105" s="32"/>
      <c r="U105" s="4"/>
      <c r="V105" s="35"/>
      <c r="W105" s="50"/>
    </row>
    <row r="106" spans="2:23" ht="12.75">
      <c r="B106" s="60"/>
      <c r="C106" s="88"/>
      <c r="D106" s="34"/>
      <c r="E106" s="34"/>
      <c r="F106" s="5"/>
      <c r="G106" s="5"/>
      <c r="H106" s="5"/>
      <c r="I106" s="5"/>
      <c r="J106" s="13"/>
      <c r="K106" s="13"/>
      <c r="L106" s="13"/>
      <c r="M106" s="13"/>
      <c r="N106" s="13"/>
      <c r="O106" s="93"/>
      <c r="P106" s="341"/>
      <c r="Q106" s="46" t="s">
        <v>139</v>
      </c>
      <c r="R106" s="311">
        <f>R62</f>
        <v>0.9</v>
      </c>
      <c r="S106" s="31"/>
      <c r="T106" s="38" t="s">
        <v>29</v>
      </c>
      <c r="U106" s="311">
        <v>0</v>
      </c>
      <c r="V106" s="5"/>
      <c r="W106" s="45"/>
    </row>
    <row r="107" spans="2:23" ht="12.75">
      <c r="B107" s="15"/>
      <c r="C107" s="89"/>
      <c r="D107" s="11"/>
      <c r="E107" s="94"/>
      <c r="F107" s="5"/>
      <c r="G107" s="5"/>
      <c r="H107" s="5"/>
      <c r="I107" s="17"/>
      <c r="J107" s="16"/>
      <c r="K107" s="17"/>
      <c r="L107" s="16"/>
      <c r="M107" s="17"/>
      <c r="N107" s="10"/>
      <c r="O107" s="95"/>
      <c r="P107" s="342">
        <v>0.4</v>
      </c>
      <c r="Q107" s="46" t="s">
        <v>140</v>
      </c>
      <c r="R107" s="311">
        <f>R63</f>
        <v>0.6</v>
      </c>
      <c r="S107" s="31"/>
      <c r="T107" s="38" t="s">
        <v>43</v>
      </c>
      <c r="U107" s="333">
        <f>U63</f>
        <v>0</v>
      </c>
      <c r="V107" s="314"/>
      <c r="W107" s="315"/>
    </row>
    <row r="108" spans="2:23" ht="12.75">
      <c r="B108" s="22"/>
      <c r="C108" s="23" t="s">
        <v>0</v>
      </c>
      <c r="D108" s="830" t="s">
        <v>20</v>
      </c>
      <c r="E108" s="831"/>
      <c r="F108" s="831"/>
      <c r="G108" s="831"/>
      <c r="H108" s="831"/>
      <c r="I108" s="831"/>
      <c r="J108" s="831"/>
      <c r="K108" s="831"/>
      <c r="L108" s="831"/>
      <c r="M108" s="831"/>
      <c r="N108" s="831"/>
      <c r="O108" s="832"/>
      <c r="P108" s="343"/>
      <c r="Q108" s="46" t="s">
        <v>141</v>
      </c>
      <c r="R108" s="311">
        <f>R64</f>
        <v>0.35</v>
      </c>
      <c r="S108" s="31"/>
      <c r="T108" s="38" t="s">
        <v>44</v>
      </c>
      <c r="U108" s="311">
        <f>U64</f>
        <v>3</v>
      </c>
      <c r="V108" s="5"/>
      <c r="W108" s="315"/>
    </row>
    <row r="109" spans="2:23" ht="12.75">
      <c r="B109" s="6"/>
      <c r="C109" s="24" t="s">
        <v>46</v>
      </c>
      <c r="D109" s="915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7"/>
      <c r="P109" s="339"/>
      <c r="Q109" s="317"/>
      <c r="R109" s="35"/>
      <c r="S109" s="35"/>
      <c r="T109" s="35"/>
      <c r="U109" s="35"/>
      <c r="V109" s="35"/>
      <c r="W109" s="318"/>
    </row>
    <row r="110" spans="2:23" ht="12.75">
      <c r="B110" s="7"/>
      <c r="C110" s="27" t="s">
        <v>47</v>
      </c>
      <c r="D110" s="918">
        <f aca="true" t="shared" si="38" ref="D110:O110">D22</f>
        <v>0.25</v>
      </c>
      <c r="E110" s="911">
        <f t="shared" si="38"/>
        <v>0.5</v>
      </c>
      <c r="F110" s="911">
        <f t="shared" si="38"/>
        <v>1</v>
      </c>
      <c r="G110" s="911">
        <f t="shared" si="38"/>
        <v>1.5</v>
      </c>
      <c r="H110" s="911">
        <f t="shared" si="38"/>
        <v>2</v>
      </c>
      <c r="I110" s="911">
        <f t="shared" si="38"/>
        <v>2.5</v>
      </c>
      <c r="J110" s="911">
        <f t="shared" si="38"/>
        <v>3</v>
      </c>
      <c r="K110" s="911">
        <f t="shared" si="38"/>
        <v>3.5</v>
      </c>
      <c r="L110" s="911">
        <f t="shared" si="38"/>
        <v>4</v>
      </c>
      <c r="M110" s="911">
        <f t="shared" si="38"/>
        <v>5</v>
      </c>
      <c r="N110" s="911">
        <f t="shared" si="38"/>
        <v>6</v>
      </c>
      <c r="O110" s="913">
        <f t="shared" si="38"/>
        <v>7</v>
      </c>
      <c r="P110" s="339"/>
      <c r="Q110" s="47" t="s">
        <v>22</v>
      </c>
      <c r="R110" s="28" t="s">
        <v>21</v>
      </c>
      <c r="S110" s="28" t="s">
        <v>23</v>
      </c>
      <c r="T110" s="320"/>
      <c r="U110" s="18"/>
      <c r="V110" s="18" t="s">
        <v>3</v>
      </c>
      <c r="W110" s="335" t="s">
        <v>35</v>
      </c>
    </row>
    <row r="111" spans="2:23" ht="12.75">
      <c r="B111" s="22"/>
      <c r="C111" s="25" t="s">
        <v>1</v>
      </c>
      <c r="D111" s="919"/>
      <c r="E111" s="912"/>
      <c r="F111" s="912"/>
      <c r="G111" s="912"/>
      <c r="H111" s="912"/>
      <c r="I111" s="912"/>
      <c r="J111" s="912"/>
      <c r="K111" s="912"/>
      <c r="L111" s="912"/>
      <c r="M111" s="912"/>
      <c r="N111" s="912"/>
      <c r="O111" s="914"/>
      <c r="P111" s="339"/>
      <c r="Q111" s="49">
        <f>($D$14*$F$16)/$D$17</f>
        <v>0.5780459626471606</v>
      </c>
      <c r="R111" s="30"/>
      <c r="S111" s="26"/>
      <c r="T111" s="36"/>
      <c r="U111" s="4"/>
      <c r="V111" s="291" t="s">
        <v>36</v>
      </c>
      <c r="W111" s="322"/>
    </row>
    <row r="112" spans="2:23" ht="18" customHeight="1">
      <c r="B112" s="22"/>
      <c r="C112" s="64">
        <f aca="true" t="shared" si="39" ref="C112:C121">C24</f>
        <v>1</v>
      </c>
      <c r="D112" s="71">
        <f aca="true" t="shared" si="40" ref="D112:D121">(($Q$23/R112)/10)*SQRT($D$22)</f>
        <v>423.7903701891085</v>
      </c>
      <c r="E112" s="65">
        <f aca="true" t="shared" si="41" ref="E112:E121">(($Q$23/R112)/10)*SQRT($E$22)</f>
        <v>599.3300891245519</v>
      </c>
      <c r="F112" s="65">
        <f aca="true" t="shared" si="42" ref="F112:F121">(($Q$23/R112)/10)*SQRT($F$22)</f>
        <v>847.580740378217</v>
      </c>
      <c r="G112" s="65">
        <f aca="true" t="shared" si="43" ref="G112:G121">(($Q$23/R112)/10)*SQRT($G$22)</f>
        <v>1038.0701648685072</v>
      </c>
      <c r="H112" s="65">
        <f aca="true" t="shared" si="44" ref="H112:H121">(($Q$23/R112)/10)*SQRT($H$22)</f>
        <v>1198.6601782491039</v>
      </c>
      <c r="I112" s="65">
        <f aca="true" t="shared" si="45" ref="I112:I121">(($Q$23/R112)/10)*SQRT($I$22)</f>
        <v>1340.1428202435054</v>
      </c>
      <c r="J112" s="65">
        <f aca="true" t="shared" si="46" ref="J112:J121">(($Q$23/R112)/10)*SQRT($J$22)</f>
        <v>1468.0529058519176</v>
      </c>
      <c r="K112" s="65">
        <f aca="true" t="shared" si="47" ref="K112:K121">(($Q$23/R112)/10)*SQRT($K$22)</f>
        <v>1585.678369061741</v>
      </c>
      <c r="L112" s="65">
        <f aca="true" t="shared" si="48" ref="L112:L121">(($Q$23/R112)/10)*SQRT($L$22)</f>
        <v>1695.161480756434</v>
      </c>
      <c r="M112" s="65">
        <f aca="true" t="shared" si="49" ref="M112:M121">(($Q$23/R112)/10)*SQRT($M$22)</f>
        <v>1895.2481519052942</v>
      </c>
      <c r="N112" s="65">
        <f aca="true" t="shared" si="50" ref="N112:N121">(($Q$23/R112)/10)*SQRT($N$22)</f>
        <v>2076.1403297370143</v>
      </c>
      <c r="O112" s="66">
        <f aca="true" t="shared" si="51" ref="O112:O121">(($Q$23/R112)/10)*SQRT($O$22)</f>
        <v>2242.4878550887643</v>
      </c>
      <c r="P112" s="339"/>
      <c r="Q112" s="51"/>
      <c r="R112" s="29">
        <f aca="true" t="shared" si="52" ref="R112:R121">((0.278*$K$17*POWER(10,-6)*(($R$18*$U$106)+($R$19*W112)+($R$20*$U$20))))</f>
        <v>6.8199516E-05</v>
      </c>
      <c r="S112" s="165">
        <f aca="true" t="shared" si="53" ref="S112:S121">($Q$23/R112)/10</f>
        <v>847.580740378217</v>
      </c>
      <c r="T112" s="3"/>
      <c r="U112" s="10"/>
      <c r="V112" s="52">
        <f aca="true" t="shared" si="54" ref="V112:V121">C112</f>
        <v>1</v>
      </c>
      <c r="W112" s="336">
        <f aca="true" t="shared" si="55" ref="W112:W121">$Q$17*V112</f>
        <v>1</v>
      </c>
    </row>
    <row r="113" spans="2:23" ht="18" customHeight="1">
      <c r="B113" s="15"/>
      <c r="C113" s="64">
        <f t="shared" si="39"/>
        <v>2</v>
      </c>
      <c r="D113" s="71">
        <f t="shared" si="40"/>
        <v>310.7796048053462</v>
      </c>
      <c r="E113" s="67">
        <f t="shared" si="41"/>
        <v>439.5087320246713</v>
      </c>
      <c r="F113" s="67">
        <f t="shared" si="42"/>
        <v>621.5592096106924</v>
      </c>
      <c r="G113" s="67">
        <f t="shared" si="43"/>
        <v>761.2514542369051</v>
      </c>
      <c r="H113" s="67">
        <f t="shared" si="44"/>
        <v>879.0174640493426</v>
      </c>
      <c r="I113" s="67">
        <f t="shared" si="45"/>
        <v>982.7714015119038</v>
      </c>
      <c r="J113" s="67">
        <f t="shared" si="46"/>
        <v>1076.5721309580729</v>
      </c>
      <c r="K113" s="67">
        <f t="shared" si="47"/>
        <v>1162.8308039786098</v>
      </c>
      <c r="L113" s="67">
        <f t="shared" si="48"/>
        <v>1243.1184192213848</v>
      </c>
      <c r="M113" s="67">
        <f t="shared" si="49"/>
        <v>1389.8486447305488</v>
      </c>
      <c r="N113" s="67">
        <f t="shared" si="50"/>
        <v>1522.5029084738103</v>
      </c>
      <c r="O113" s="68">
        <f t="shared" si="51"/>
        <v>1644.4910937317602</v>
      </c>
      <c r="P113" s="339"/>
      <c r="Q113" s="51"/>
      <c r="R113" s="30">
        <f t="shared" si="52"/>
        <v>9.299934E-05</v>
      </c>
      <c r="S113" s="78">
        <f t="shared" si="53"/>
        <v>621.5592096106924</v>
      </c>
      <c r="T113" s="3"/>
      <c r="U113" s="10"/>
      <c r="V113" s="52">
        <f t="shared" si="54"/>
        <v>2</v>
      </c>
      <c r="W113" s="336">
        <f t="shared" si="55"/>
        <v>2</v>
      </c>
    </row>
    <row r="114" spans="2:23" ht="18" customHeight="1">
      <c r="B114" s="14"/>
      <c r="C114" s="64">
        <f t="shared" si="39"/>
        <v>2.5</v>
      </c>
      <c r="D114" s="71">
        <f t="shared" si="40"/>
        <v>274.2172983576585</v>
      </c>
      <c r="E114" s="67">
        <f t="shared" si="41"/>
        <v>387.80182237471007</v>
      </c>
      <c r="F114" s="67">
        <f t="shared" si="42"/>
        <v>548.434596715317</v>
      </c>
      <c r="G114" s="67">
        <f t="shared" si="43"/>
        <v>671.6924596207988</v>
      </c>
      <c r="H114" s="67">
        <f t="shared" si="44"/>
        <v>775.6036447494201</v>
      </c>
      <c r="I114" s="67">
        <f t="shared" si="45"/>
        <v>867.1512366281506</v>
      </c>
      <c r="J114" s="67">
        <f t="shared" si="46"/>
        <v>949.9165861394762</v>
      </c>
      <c r="K114" s="67">
        <f t="shared" si="47"/>
        <v>1026.0271799811267</v>
      </c>
      <c r="L114" s="67">
        <f t="shared" si="48"/>
        <v>1096.869193430634</v>
      </c>
      <c r="M114" s="67">
        <f t="shared" si="49"/>
        <v>1226.3370394681317</v>
      </c>
      <c r="N114" s="67">
        <f t="shared" si="50"/>
        <v>1343.3849192415976</v>
      </c>
      <c r="O114" s="68">
        <f t="shared" si="51"/>
        <v>1451.02155329273</v>
      </c>
      <c r="P114" s="339"/>
      <c r="Q114" s="51"/>
      <c r="R114" s="30">
        <f t="shared" si="52"/>
        <v>0.000105399252</v>
      </c>
      <c r="S114" s="78">
        <f t="shared" si="53"/>
        <v>548.434596715317</v>
      </c>
      <c r="T114" s="3"/>
      <c r="U114" s="10"/>
      <c r="V114" s="52">
        <f t="shared" si="54"/>
        <v>2.5</v>
      </c>
      <c r="W114" s="336">
        <f t="shared" si="55"/>
        <v>2.5</v>
      </c>
    </row>
    <row r="115" spans="3:23" ht="18" customHeight="1">
      <c r="C115" s="64">
        <f t="shared" si="39"/>
        <v>3</v>
      </c>
      <c r="D115" s="71">
        <f t="shared" si="40"/>
        <v>245.35231958316814</v>
      </c>
      <c r="E115" s="67">
        <f t="shared" si="41"/>
        <v>346.98057791421434</v>
      </c>
      <c r="F115" s="67">
        <f t="shared" si="42"/>
        <v>490.7046391663363</v>
      </c>
      <c r="G115" s="67">
        <f t="shared" si="43"/>
        <v>600.9879901870306</v>
      </c>
      <c r="H115" s="67">
        <f t="shared" si="44"/>
        <v>693.9611558284287</v>
      </c>
      <c r="I115" s="67">
        <f t="shared" si="45"/>
        <v>775.8721590883454</v>
      </c>
      <c r="J115" s="67">
        <f t="shared" si="46"/>
        <v>849.9253665458473</v>
      </c>
      <c r="K115" s="67">
        <f t="shared" si="47"/>
        <v>918.0243189304819</v>
      </c>
      <c r="L115" s="67">
        <f t="shared" si="48"/>
        <v>981.4092783326726</v>
      </c>
      <c r="M115" s="67">
        <f t="shared" si="49"/>
        <v>1097.2489300504337</v>
      </c>
      <c r="N115" s="67">
        <f t="shared" si="50"/>
        <v>1201.9759803740612</v>
      </c>
      <c r="O115" s="68">
        <f t="shared" si="51"/>
        <v>1298.282442419811</v>
      </c>
      <c r="P115" s="339"/>
      <c r="Q115" s="51"/>
      <c r="R115" s="30">
        <f t="shared" si="52"/>
        <v>0.00011779916399999998</v>
      </c>
      <c r="S115" s="78">
        <f t="shared" si="53"/>
        <v>490.7046391663363</v>
      </c>
      <c r="T115" s="3"/>
      <c r="U115" s="10"/>
      <c r="V115" s="52">
        <f t="shared" si="54"/>
        <v>3</v>
      </c>
      <c r="W115" s="336">
        <f t="shared" si="55"/>
        <v>3</v>
      </c>
    </row>
    <row r="116" spans="2:23" ht="18" customHeight="1">
      <c r="B116" s="14"/>
      <c r="C116" s="64">
        <f t="shared" si="39"/>
        <v>3.5</v>
      </c>
      <c r="D116" s="71">
        <f t="shared" si="40"/>
        <v>221.98543200381874</v>
      </c>
      <c r="E116" s="67">
        <f t="shared" si="41"/>
        <v>313.934808589051</v>
      </c>
      <c r="F116" s="67">
        <f t="shared" si="42"/>
        <v>443.9708640076375</v>
      </c>
      <c r="G116" s="67">
        <f t="shared" si="43"/>
        <v>543.7510387406465</v>
      </c>
      <c r="H116" s="67">
        <f t="shared" si="44"/>
        <v>627.869617178102</v>
      </c>
      <c r="I116" s="67">
        <f t="shared" si="45"/>
        <v>701.9795725085029</v>
      </c>
      <c r="J116" s="67">
        <f t="shared" si="46"/>
        <v>768.9800935414806</v>
      </c>
      <c r="K116" s="67">
        <f t="shared" si="47"/>
        <v>830.5934314132929</v>
      </c>
      <c r="L116" s="67">
        <f t="shared" si="48"/>
        <v>887.941728015275</v>
      </c>
      <c r="M116" s="67">
        <f t="shared" si="49"/>
        <v>992.7490319503922</v>
      </c>
      <c r="N116" s="67">
        <f t="shared" si="50"/>
        <v>1087.502077481293</v>
      </c>
      <c r="O116" s="68">
        <f t="shared" si="51"/>
        <v>1174.636495522686</v>
      </c>
      <c r="P116" s="339"/>
      <c r="Q116" s="51"/>
      <c r="R116" s="30">
        <f t="shared" si="52"/>
        <v>0.000130199076</v>
      </c>
      <c r="S116" s="78">
        <f t="shared" si="53"/>
        <v>443.9708640076375</v>
      </c>
      <c r="T116" s="3"/>
      <c r="U116" s="10"/>
      <c r="V116" s="52">
        <f t="shared" si="54"/>
        <v>3.5</v>
      </c>
      <c r="W116" s="336">
        <f t="shared" si="55"/>
        <v>3.5</v>
      </c>
    </row>
    <row r="117" spans="3:23" ht="18" customHeight="1">
      <c r="C117" s="64">
        <f t="shared" si="39"/>
        <v>4</v>
      </c>
      <c r="D117" s="71">
        <f t="shared" si="40"/>
        <v>202.68235096000842</v>
      </c>
      <c r="E117" s="67">
        <f t="shared" si="41"/>
        <v>286.63612958130744</v>
      </c>
      <c r="F117" s="67">
        <f t="shared" si="42"/>
        <v>405.36470192001684</v>
      </c>
      <c r="G117" s="67">
        <f t="shared" si="43"/>
        <v>496.4683397197208</v>
      </c>
      <c r="H117" s="67">
        <f t="shared" si="44"/>
        <v>573.2722591626149</v>
      </c>
      <c r="I117" s="67">
        <f t="shared" si="45"/>
        <v>640.9378705512418</v>
      </c>
      <c r="J117" s="67">
        <f t="shared" si="46"/>
        <v>702.1122593204824</v>
      </c>
      <c r="K117" s="67">
        <f t="shared" si="47"/>
        <v>758.367915638224</v>
      </c>
      <c r="L117" s="67">
        <f t="shared" si="48"/>
        <v>810.7294038400337</v>
      </c>
      <c r="M117" s="67">
        <f t="shared" si="49"/>
        <v>906.4230291720972</v>
      </c>
      <c r="N117" s="67">
        <f t="shared" si="50"/>
        <v>992.9366794394416</v>
      </c>
      <c r="O117" s="68">
        <f t="shared" si="51"/>
        <v>1072.4941915641916</v>
      </c>
      <c r="P117" s="339"/>
      <c r="Q117" s="51"/>
      <c r="R117" s="30">
        <f t="shared" si="52"/>
        <v>0.000142598988</v>
      </c>
      <c r="S117" s="78">
        <f t="shared" si="53"/>
        <v>405.36470192001684</v>
      </c>
      <c r="T117" s="3"/>
      <c r="U117" s="10"/>
      <c r="V117" s="52">
        <f t="shared" si="54"/>
        <v>4</v>
      </c>
      <c r="W117" s="336">
        <f t="shared" si="55"/>
        <v>4</v>
      </c>
    </row>
    <row r="118" spans="3:23" ht="18" customHeight="1">
      <c r="C118" s="64">
        <f t="shared" si="39"/>
        <v>5</v>
      </c>
      <c r="D118" s="71">
        <f t="shared" si="40"/>
        <v>172.65533600297013</v>
      </c>
      <c r="E118" s="67">
        <f t="shared" si="41"/>
        <v>244.1715177914841</v>
      </c>
      <c r="F118" s="67">
        <f t="shared" si="42"/>
        <v>345.31067200594026</v>
      </c>
      <c r="G118" s="67">
        <f t="shared" si="43"/>
        <v>422.91747457605845</v>
      </c>
      <c r="H118" s="67">
        <f t="shared" si="44"/>
        <v>488.3430355829682</v>
      </c>
      <c r="I118" s="67">
        <f t="shared" si="45"/>
        <v>545.9841119510578</v>
      </c>
      <c r="J118" s="67">
        <f t="shared" si="46"/>
        <v>598.0956283100405</v>
      </c>
      <c r="K118" s="67">
        <f t="shared" si="47"/>
        <v>646.01711332145</v>
      </c>
      <c r="L118" s="67">
        <f t="shared" si="48"/>
        <v>690.6213440118805</v>
      </c>
      <c r="M118" s="67">
        <f t="shared" si="49"/>
        <v>772.1381359614161</v>
      </c>
      <c r="N118" s="67">
        <f t="shared" si="50"/>
        <v>845.8349491521169</v>
      </c>
      <c r="O118" s="68">
        <f t="shared" si="51"/>
        <v>913.6061631843113</v>
      </c>
      <c r="P118" s="339"/>
      <c r="Q118" s="51"/>
      <c r="R118" s="30">
        <f t="shared" si="52"/>
        <v>0.000167398812</v>
      </c>
      <c r="S118" s="78">
        <f t="shared" si="53"/>
        <v>345.31067200594026</v>
      </c>
      <c r="T118" s="3"/>
      <c r="U118" s="10"/>
      <c r="V118" s="52">
        <f t="shared" si="54"/>
        <v>5</v>
      </c>
      <c r="W118" s="336">
        <f t="shared" si="55"/>
        <v>5</v>
      </c>
    </row>
    <row r="119" spans="3:23" ht="18" customHeight="1">
      <c r="C119" s="64">
        <f t="shared" si="39"/>
        <v>6</v>
      </c>
      <c r="D119" s="71">
        <f t="shared" si="40"/>
        <v>150.37722813161915</v>
      </c>
      <c r="E119" s="67">
        <f t="shared" si="41"/>
        <v>212.66551549580873</v>
      </c>
      <c r="F119" s="67">
        <f t="shared" si="42"/>
        <v>300.7544562632383</v>
      </c>
      <c r="G119" s="67">
        <f t="shared" si="43"/>
        <v>368.347477856567</v>
      </c>
      <c r="H119" s="67">
        <f t="shared" si="44"/>
        <v>425.33103099161747</v>
      </c>
      <c r="I119" s="67">
        <f t="shared" si="45"/>
        <v>475.5345491186632</v>
      </c>
      <c r="J119" s="67">
        <f t="shared" si="46"/>
        <v>520.9219988506804</v>
      </c>
      <c r="K119" s="67">
        <f t="shared" si="47"/>
        <v>562.6600664412629</v>
      </c>
      <c r="L119" s="67">
        <f t="shared" si="48"/>
        <v>601.5089125264766</v>
      </c>
      <c r="M119" s="67">
        <f t="shared" si="49"/>
        <v>672.5074087405883</v>
      </c>
      <c r="N119" s="67">
        <f t="shared" si="50"/>
        <v>736.694955713134</v>
      </c>
      <c r="O119" s="68">
        <f t="shared" si="51"/>
        <v>795.7214969669808</v>
      </c>
      <c r="P119" s="339"/>
      <c r="Q119" s="51"/>
      <c r="R119" s="30">
        <f t="shared" si="52"/>
        <v>0.00019219863599999998</v>
      </c>
      <c r="S119" s="78">
        <f t="shared" si="53"/>
        <v>300.7544562632383</v>
      </c>
      <c r="T119" s="3"/>
      <c r="U119" s="10"/>
      <c r="V119" s="52">
        <f t="shared" si="54"/>
        <v>6</v>
      </c>
      <c r="W119" s="336">
        <f t="shared" si="55"/>
        <v>6</v>
      </c>
    </row>
    <row r="120" spans="2:23" ht="18" customHeight="1">
      <c r="B120" s="20"/>
      <c r="C120" s="64">
        <f t="shared" si="39"/>
        <v>7</v>
      </c>
      <c r="D120" s="71">
        <f t="shared" si="40"/>
        <v>133.19125920229123</v>
      </c>
      <c r="E120" s="67">
        <f t="shared" si="41"/>
        <v>188.3608851534306</v>
      </c>
      <c r="F120" s="67">
        <f t="shared" si="42"/>
        <v>266.38251840458247</v>
      </c>
      <c r="G120" s="67">
        <f t="shared" si="43"/>
        <v>326.25062324438795</v>
      </c>
      <c r="H120" s="67">
        <f t="shared" si="44"/>
        <v>376.7217703068612</v>
      </c>
      <c r="I120" s="67">
        <f t="shared" si="45"/>
        <v>421.18774350510165</v>
      </c>
      <c r="J120" s="67">
        <f t="shared" si="46"/>
        <v>461.38805612488835</v>
      </c>
      <c r="K120" s="67">
        <f t="shared" si="47"/>
        <v>498.3560588479757</v>
      </c>
      <c r="L120" s="67">
        <f t="shared" si="48"/>
        <v>532.7650368091649</v>
      </c>
      <c r="M120" s="67">
        <f t="shared" si="49"/>
        <v>595.6494191702352</v>
      </c>
      <c r="N120" s="67">
        <f t="shared" si="50"/>
        <v>652.5012464887759</v>
      </c>
      <c r="O120" s="68">
        <f t="shared" si="51"/>
        <v>704.7818973136116</v>
      </c>
      <c r="P120" s="339"/>
      <c r="Q120" s="51"/>
      <c r="R120" s="30">
        <f t="shared" si="52"/>
        <v>0.00021699846000000002</v>
      </c>
      <c r="S120" s="78">
        <f t="shared" si="53"/>
        <v>266.38251840458247</v>
      </c>
      <c r="T120" s="3"/>
      <c r="U120" s="10"/>
      <c r="V120" s="52">
        <f t="shared" si="54"/>
        <v>7</v>
      </c>
      <c r="W120" s="336">
        <f t="shared" si="55"/>
        <v>7</v>
      </c>
    </row>
    <row r="121" spans="3:23" ht="18" customHeight="1" thickBot="1">
      <c r="C121" s="64">
        <f t="shared" si="39"/>
        <v>8</v>
      </c>
      <c r="D121" s="71">
        <f t="shared" si="40"/>
        <v>119.53061723282549</v>
      </c>
      <c r="E121" s="69">
        <f t="shared" si="41"/>
        <v>169.04182000948902</v>
      </c>
      <c r="F121" s="69">
        <f t="shared" si="42"/>
        <v>239.06123446565098</v>
      </c>
      <c r="G121" s="69">
        <f t="shared" si="43"/>
        <v>292.7890208603482</v>
      </c>
      <c r="H121" s="69">
        <f t="shared" si="44"/>
        <v>338.08364001897803</v>
      </c>
      <c r="I121" s="69">
        <f t="shared" si="45"/>
        <v>377.98900058150156</v>
      </c>
      <c r="J121" s="69">
        <f t="shared" si="46"/>
        <v>414.0662042146435</v>
      </c>
      <c r="K121" s="69">
        <f t="shared" si="47"/>
        <v>447.2426169148501</v>
      </c>
      <c r="L121" s="69">
        <f t="shared" si="48"/>
        <v>478.12246893130197</v>
      </c>
      <c r="M121" s="69">
        <f t="shared" si="49"/>
        <v>534.5571710502112</v>
      </c>
      <c r="N121" s="69">
        <f t="shared" si="50"/>
        <v>585.5780417206964</v>
      </c>
      <c r="O121" s="70">
        <f t="shared" si="51"/>
        <v>632.4965745122156</v>
      </c>
      <c r="P121" s="339"/>
      <c r="Q121" s="53"/>
      <c r="R121" s="54">
        <f t="shared" si="52"/>
        <v>0.000241798284</v>
      </c>
      <c r="S121" s="106">
        <f t="shared" si="53"/>
        <v>239.06123446565098</v>
      </c>
      <c r="T121" s="56"/>
      <c r="U121" s="57"/>
      <c r="V121" s="58">
        <f t="shared" si="54"/>
        <v>8</v>
      </c>
      <c r="W121" s="337">
        <f t="shared" si="55"/>
        <v>8</v>
      </c>
    </row>
    <row r="122" spans="2:16" ht="18" customHeight="1">
      <c r="B122" s="21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1"/>
      <c r="P122" s="339"/>
    </row>
    <row r="123" spans="3:16" ht="18" customHeight="1">
      <c r="C123" s="82"/>
      <c r="D123" s="6" t="s">
        <v>31</v>
      </c>
      <c r="E123" s="920">
        <f>Q128</f>
        <v>1398.508221624058</v>
      </c>
      <c r="F123" s="920"/>
      <c r="G123" s="3" t="s">
        <v>33</v>
      </c>
      <c r="H123" s="183" t="s">
        <v>280</v>
      </c>
      <c r="I123" s="606">
        <f>R106</f>
        <v>0.9</v>
      </c>
      <c r="J123" s="3" t="s">
        <v>281</v>
      </c>
      <c r="K123" s="606">
        <f>R107</f>
        <v>0.6</v>
      </c>
      <c r="L123" s="3" t="s">
        <v>282</v>
      </c>
      <c r="M123" s="606">
        <f>R108</f>
        <v>0.35</v>
      </c>
      <c r="N123" s="3" t="s">
        <v>283</v>
      </c>
      <c r="O123" s="83" t="s">
        <v>284</v>
      </c>
      <c r="P123" s="339"/>
    </row>
    <row r="124" spans="3:21" ht="15" customHeight="1">
      <c r="C124" s="8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3"/>
      <c r="P124" s="339"/>
      <c r="T124" s="1"/>
      <c r="U124" s="1"/>
    </row>
    <row r="125" spans="3:21" ht="15" customHeight="1">
      <c r="C125" s="8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3"/>
      <c r="P125" s="339"/>
      <c r="S125" s="338"/>
      <c r="T125" s="338"/>
      <c r="U125" s="1"/>
    </row>
    <row r="126" spans="3:21" ht="15" customHeight="1">
      <c r="C126" s="82"/>
      <c r="D126" s="6" t="s">
        <v>31</v>
      </c>
      <c r="E126" s="5" t="s">
        <v>25</v>
      </c>
      <c r="F126" s="5"/>
      <c r="G126" s="5"/>
      <c r="H126" s="5"/>
      <c r="I126" s="5"/>
      <c r="J126" s="5"/>
      <c r="K126" s="5"/>
      <c r="L126" s="5"/>
      <c r="M126" s="5"/>
      <c r="N126" s="5"/>
      <c r="O126" s="83"/>
      <c r="P126" s="339"/>
      <c r="Q126" s="97">
        <f>Q111</f>
        <v>0.5780459626471606</v>
      </c>
      <c r="T126" s="1"/>
      <c r="U126" s="1"/>
    </row>
    <row r="127" spans="3:21" ht="15" customHeight="1">
      <c r="C127" s="82"/>
      <c r="D127" s="6" t="s">
        <v>32</v>
      </c>
      <c r="E127" s="5" t="s">
        <v>26</v>
      </c>
      <c r="F127" s="5"/>
      <c r="G127" s="5"/>
      <c r="H127" s="5"/>
      <c r="I127" s="5"/>
      <c r="J127" s="5"/>
      <c r="K127" s="5"/>
      <c r="L127" s="5"/>
      <c r="M127" s="5"/>
      <c r="N127" s="5"/>
      <c r="O127" s="83"/>
      <c r="P127" s="339"/>
      <c r="Q127" s="98">
        <f>((0.278*$K$61*POWER(10,-6)))</f>
        <v>4.133304E-05</v>
      </c>
      <c r="T127" s="1"/>
      <c r="U127" s="1"/>
    </row>
    <row r="128" spans="3:21" ht="15" customHeight="1">
      <c r="C128" s="82"/>
      <c r="D128" s="6" t="s">
        <v>29</v>
      </c>
      <c r="E128" s="5" t="s">
        <v>27</v>
      </c>
      <c r="F128" s="5"/>
      <c r="G128" s="5"/>
      <c r="H128" s="5"/>
      <c r="I128" s="5"/>
      <c r="J128" s="5"/>
      <c r="K128" s="5"/>
      <c r="L128" s="119">
        <f>U106</f>
        <v>0</v>
      </c>
      <c r="M128" s="5"/>
      <c r="N128" s="5"/>
      <c r="O128" s="83"/>
      <c r="P128" s="339"/>
      <c r="Q128" s="102">
        <f>(Q126/Q127)/10</f>
        <v>1398.508221624058</v>
      </c>
      <c r="T128" s="1"/>
      <c r="U128" s="1"/>
    </row>
    <row r="129" spans="3:21" ht="15" customHeight="1">
      <c r="C129" s="82"/>
      <c r="D129" s="6" t="s">
        <v>43</v>
      </c>
      <c r="E129" s="5" t="s">
        <v>28</v>
      </c>
      <c r="F129" s="5"/>
      <c r="G129" s="5"/>
      <c r="H129" s="5"/>
      <c r="I129" s="5"/>
      <c r="J129" s="5"/>
      <c r="K129" s="5"/>
      <c r="L129" s="9" t="s">
        <v>34</v>
      </c>
      <c r="M129" s="5"/>
      <c r="N129" s="5"/>
      <c r="O129" s="83"/>
      <c r="P129" s="339"/>
      <c r="Q129" s="99"/>
      <c r="T129" s="1"/>
      <c r="U129" s="1"/>
    </row>
    <row r="130" spans="3:21" ht="15" customHeight="1">
      <c r="C130" s="82"/>
      <c r="D130" s="6" t="s">
        <v>44</v>
      </c>
      <c r="E130" s="5" t="s">
        <v>30</v>
      </c>
      <c r="F130" s="5"/>
      <c r="G130" s="5"/>
      <c r="H130" s="5"/>
      <c r="I130" s="5"/>
      <c r="J130" s="5"/>
      <c r="K130" s="5"/>
      <c r="L130" s="119">
        <f>U108</f>
        <v>3</v>
      </c>
      <c r="M130" s="5"/>
      <c r="N130" s="5"/>
      <c r="O130" s="83"/>
      <c r="P130" s="339"/>
      <c r="Q130" s="100"/>
      <c r="T130" s="1"/>
      <c r="U130" s="1"/>
    </row>
    <row r="131" spans="3:21" ht="12.75" customHeight="1">
      <c r="C131" s="82"/>
      <c r="M131" s="5"/>
      <c r="N131" s="5"/>
      <c r="O131" s="83"/>
      <c r="P131" s="339"/>
      <c r="R131" s="101"/>
      <c r="T131" s="1"/>
      <c r="U131" s="1"/>
    </row>
    <row r="132" spans="3:21" ht="30" customHeight="1">
      <c r="C132" s="8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85"/>
      <c r="P132" s="339"/>
      <c r="T132" s="1"/>
      <c r="U132" s="1"/>
    </row>
    <row r="133" spans="2:21" ht="9.75" customHeight="1">
      <c r="B133" s="5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121"/>
      <c r="T133" s="1"/>
      <c r="U133" s="1"/>
    </row>
  </sheetData>
  <sheetProtection/>
  <mergeCells count="78">
    <mergeCell ref="S102:T102"/>
    <mergeCell ref="N110:N111"/>
    <mergeCell ref="O110:O111"/>
    <mergeCell ref="L102:N102"/>
    <mergeCell ref="J110:J111"/>
    <mergeCell ref="K110:K111"/>
    <mergeCell ref="L110:L111"/>
    <mergeCell ref="M110:M111"/>
    <mergeCell ref="D108:O109"/>
    <mergeCell ref="I110:I111"/>
    <mergeCell ref="E123:F123"/>
    <mergeCell ref="D110:D111"/>
    <mergeCell ref="E110:E111"/>
    <mergeCell ref="F110:F111"/>
    <mergeCell ref="G110:G111"/>
    <mergeCell ref="H110:H111"/>
    <mergeCell ref="D96:N96"/>
    <mergeCell ref="D98:M98"/>
    <mergeCell ref="D100:M100"/>
    <mergeCell ref="G66:G67"/>
    <mergeCell ref="H66:H67"/>
    <mergeCell ref="G91:O91"/>
    <mergeCell ref="G93:O93"/>
    <mergeCell ref="O66:O67"/>
    <mergeCell ref="D95:N95"/>
    <mergeCell ref="G92:O92"/>
    <mergeCell ref="C90:F93"/>
    <mergeCell ref="L66:L67"/>
    <mergeCell ref="M66:M67"/>
    <mergeCell ref="N66:N67"/>
    <mergeCell ref="D66:D67"/>
    <mergeCell ref="E66:E67"/>
    <mergeCell ref="F66:F67"/>
    <mergeCell ref="J102:K102"/>
    <mergeCell ref="D64:O65"/>
    <mergeCell ref="D52:N52"/>
    <mergeCell ref="D54:M54"/>
    <mergeCell ref="D56:M56"/>
    <mergeCell ref="J58:K58"/>
    <mergeCell ref="G90:O90"/>
    <mergeCell ref="I66:I67"/>
    <mergeCell ref="J66:J67"/>
    <mergeCell ref="K66:K67"/>
    <mergeCell ref="D22:D23"/>
    <mergeCell ref="E22:E23"/>
    <mergeCell ref="F22:F23"/>
    <mergeCell ref="L58:N58"/>
    <mergeCell ref="E35:F35"/>
    <mergeCell ref="G48:O48"/>
    <mergeCell ref="C46:F49"/>
    <mergeCell ref="G2:O2"/>
    <mergeCell ref="G3:O3"/>
    <mergeCell ref="G5:O5"/>
    <mergeCell ref="D10:M10"/>
    <mergeCell ref="D7:M7"/>
    <mergeCell ref="D8:M8"/>
    <mergeCell ref="G4:O4"/>
    <mergeCell ref="C2:F5"/>
    <mergeCell ref="D12:M12"/>
    <mergeCell ref="D20:O21"/>
    <mergeCell ref="J22:J23"/>
    <mergeCell ref="K22:K23"/>
    <mergeCell ref="L22:L23"/>
    <mergeCell ref="G22:G23"/>
    <mergeCell ref="L14:N14"/>
    <mergeCell ref="M22:M23"/>
    <mergeCell ref="N22:N23"/>
    <mergeCell ref="J14:K14"/>
    <mergeCell ref="R46:S46"/>
    <mergeCell ref="E79:F79"/>
    <mergeCell ref="H22:H23"/>
    <mergeCell ref="D51:N51"/>
    <mergeCell ref="O22:O23"/>
    <mergeCell ref="G46:O46"/>
    <mergeCell ref="G47:O47"/>
    <mergeCell ref="S58:T58"/>
    <mergeCell ref="G49:O49"/>
    <mergeCell ref="I22:I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7"/>
  <rowBreaks count="1" manualBreakCount="1">
    <brk id="44" max="255" man="1"/>
  </rowBreaks>
  <legacyDrawing r:id="rId6"/>
  <oleObjects>
    <oleObject progId="Equation.3" shapeId="2566037" r:id="rId1"/>
    <oleObject progId="Equation.3" shapeId="2566038" r:id="rId2"/>
    <oleObject progId="Equation.3" shapeId="2566039" r:id="rId3"/>
    <oleObject progId="Equation.3" shapeId="2566040" r:id="rId4"/>
    <oleObject progId="Equation.3" shapeId="2566041" r:id="rId5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W44"/>
  <sheetViews>
    <sheetView zoomScalePageLayoutView="0" workbookViewId="0" topLeftCell="A1">
      <selection activeCell="G2" sqref="G2:O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6.851562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'[4]BASE '!G3</f>
        <v>Rodovia: MG-424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'[4]BASE '!G4</f>
        <v>Trecho: Entroncamento MG-010  -  Sete Lagoas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 t="e">
        <f>'[4]BASE '!G5</f>
        <v>#REF!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27" t="s">
        <v>289</v>
      </c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9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290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0.27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'[4]BASE '!$L$14</f>
        <v>Sete Lagoas - MG</v>
      </c>
      <c r="M14" s="922"/>
      <c r="N14" s="922"/>
      <c r="O14" s="83"/>
      <c r="P14" s="299"/>
    </row>
    <row r="15" spans="3:16" ht="15" customHeight="1" thickBot="1">
      <c r="C15" s="87" t="s">
        <v>5</v>
      </c>
      <c r="D15" s="125">
        <v>1.4485</v>
      </c>
      <c r="E15" s="5" t="s">
        <v>7</v>
      </c>
      <c r="F15" s="8"/>
      <c r="G15" s="8"/>
      <c r="H15" s="8"/>
      <c r="I15" s="8"/>
      <c r="J15" s="6" t="s">
        <v>18</v>
      </c>
      <c r="K15" s="215">
        <f>'[4]BASE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0.18639972385226097</v>
      </c>
      <c r="E16" s="8" t="s">
        <v>7</v>
      </c>
      <c r="F16" s="92">
        <f>POWER($D$16,2/3)</f>
        <v>0.32630984458975953</v>
      </c>
      <c r="G16" s="8"/>
      <c r="H16" s="8"/>
      <c r="I16" s="8"/>
      <c r="J16" s="6" t="s">
        <v>17</v>
      </c>
      <c r="K16" s="215">
        <f>'[4]BASE '!K16</f>
        <v>5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'[4]BASE '!$D$17</f>
        <v>0.015</v>
      </c>
      <c r="E17" s="5"/>
      <c r="F17" s="5"/>
      <c r="G17" s="5"/>
      <c r="H17" s="5"/>
      <c r="I17" s="5"/>
      <c r="J17" s="6" t="s">
        <v>19</v>
      </c>
      <c r="K17" s="307">
        <f>'[4]BASE '!K17</f>
        <v>148.68</v>
      </c>
      <c r="L17" s="8" t="s">
        <v>14</v>
      </c>
      <c r="M17" s="5"/>
      <c r="N17" s="5"/>
      <c r="O17" s="83"/>
      <c r="P17" s="299"/>
      <c r="Q17" s="308">
        <f>R17/S17</f>
        <v>1.5</v>
      </c>
      <c r="R17" s="309">
        <v>3</v>
      </c>
      <c r="S17" s="309">
        <v>2</v>
      </c>
      <c r="T17" s="32"/>
      <c r="U17" s="4"/>
      <c r="V17" s="35"/>
      <c r="W17" s="50"/>
    </row>
    <row r="18" spans="2:23" ht="12.75">
      <c r="B18" s="60"/>
      <c r="C18" s="184" t="s">
        <v>97</v>
      </c>
      <c r="D18" s="186">
        <f aca="true" t="shared" si="0" ref="D18:O18">D19*$D$14</f>
        <v>0.29367886013078365</v>
      </c>
      <c r="E18" s="186">
        <f t="shared" si="0"/>
        <v>0.4153246269792254</v>
      </c>
      <c r="F18" s="186">
        <f t="shared" si="0"/>
        <v>0.5873577202615673</v>
      </c>
      <c r="G18" s="186">
        <f t="shared" si="0"/>
        <v>0.71936335556261</v>
      </c>
      <c r="H18" s="186">
        <f t="shared" si="0"/>
        <v>0.8306492539584508</v>
      </c>
      <c r="I18" s="186">
        <f t="shared" si="0"/>
        <v>0.9286940986552912</v>
      </c>
      <c r="J18" s="186">
        <f t="shared" si="0"/>
        <v>1.0173334137108623</v>
      </c>
      <c r="K18" s="186">
        <f t="shared" si="0"/>
        <v>1.0988456763476977</v>
      </c>
      <c r="L18" s="186">
        <f t="shared" si="0"/>
        <v>1.1747154405231346</v>
      </c>
      <c r="M18" s="186">
        <f t="shared" si="0"/>
        <v>1.31337178961417</v>
      </c>
      <c r="N18" s="186">
        <f t="shared" si="0"/>
        <v>1.43872671112522</v>
      </c>
      <c r="O18" s="187">
        <f t="shared" si="0"/>
        <v>1.5540024584459509</v>
      </c>
      <c r="P18" s="310"/>
      <c r="Q18" s="274" t="s">
        <v>255</v>
      </c>
      <c r="R18" s="497">
        <v>0.6</v>
      </c>
      <c r="S18" s="498"/>
      <c r="T18" s="499" t="s">
        <v>100</v>
      </c>
      <c r="U18" s="497">
        <v>4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1.0876994819658652</v>
      </c>
      <c r="E19" s="188">
        <f t="shared" si="1"/>
        <v>1.5382393591823162</v>
      </c>
      <c r="F19" s="188">
        <f t="shared" si="1"/>
        <v>2.1753989639317304</v>
      </c>
      <c r="G19" s="188">
        <f t="shared" si="1"/>
        <v>2.664308724305963</v>
      </c>
      <c r="H19" s="188">
        <f t="shared" si="1"/>
        <v>3.0764787183646325</v>
      </c>
      <c r="I19" s="188">
        <f t="shared" si="1"/>
        <v>3.4396077727973746</v>
      </c>
      <c r="J19" s="188">
        <f t="shared" si="1"/>
        <v>3.7679015322624525</v>
      </c>
      <c r="K19" s="188">
        <f t="shared" si="1"/>
        <v>4.069798801287769</v>
      </c>
      <c r="L19" s="188">
        <f t="shared" si="1"/>
        <v>4.350797927863461</v>
      </c>
      <c r="M19" s="188">
        <f t="shared" si="1"/>
        <v>4.864339961533962</v>
      </c>
      <c r="N19" s="188">
        <f t="shared" si="1"/>
        <v>5.328617448611926</v>
      </c>
      <c r="O19" s="189">
        <f t="shared" si="1"/>
        <v>5.755564660910928</v>
      </c>
      <c r="P19" s="312">
        <v>0.4</v>
      </c>
      <c r="Q19" s="274" t="s">
        <v>256</v>
      </c>
      <c r="R19" s="497">
        <v>0.35</v>
      </c>
      <c r="S19" s="498"/>
      <c r="T19" s="499" t="s">
        <v>43</v>
      </c>
      <c r="U19" s="500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/>
      <c r="R20" s="311"/>
      <c r="S20" s="31"/>
      <c r="T20" s="38"/>
      <c r="U20" s="311"/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153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5.873577202615672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607">
        <f aca="true" t="shared" si="2" ref="D24:D33">(($Q$23/R24)/10)*SQRT($D$22)</f>
        <v>2429.122781787679</v>
      </c>
      <c r="E24" s="608">
        <f aca="true" t="shared" si="3" ref="E24:E33">(($Q$23/R24)/10)*SQRT($E$22)</f>
        <v>3435.298382673596</v>
      </c>
      <c r="F24" s="608">
        <f aca="true" t="shared" si="4" ref="F24:F33">(($Q$23/R24)/10)*SQRT($F$22)</f>
        <v>4858.245563575358</v>
      </c>
      <c r="G24" s="608">
        <f aca="true" t="shared" si="5" ref="G24:G33">(($Q$23/R24)/10)*SQRT($G$22)</f>
        <v>5950.111337949859</v>
      </c>
      <c r="H24" s="608">
        <f aca="true" t="shared" si="6" ref="H24:H33">(($Q$23/R24)/10)*SQRT($H$22)</f>
        <v>6870.596765347192</v>
      </c>
      <c r="I24" s="608">
        <f aca="true" t="shared" si="7" ref="I24:I33">(($Q$23/R24)/10)*SQRT($I$22)</f>
        <v>7681.560706653247</v>
      </c>
      <c r="J24" s="608">
        <f aca="true" t="shared" si="8" ref="J24:J33">(($Q$23/R24)/10)*SQRT($J$22)</f>
        <v>8414.728151758613</v>
      </c>
      <c r="K24" s="608">
        <f aca="true" t="shared" si="9" ref="K24:K33">(($Q$23/R24)/10)*SQRT($K$22)</f>
        <v>9088.945199856733</v>
      </c>
      <c r="L24" s="608">
        <f aca="true" t="shared" si="10" ref="L24:L33">(($Q$23/R24)/10)*SQRT($L$22)</f>
        <v>9716.491127150715</v>
      </c>
      <c r="M24" s="608">
        <f aca="true" t="shared" si="11" ref="M24:M33">(($Q$23/R24)/10)*SQRT($M$22)</f>
        <v>10863.367331541276</v>
      </c>
      <c r="N24" s="608">
        <f aca="true" t="shared" si="12" ref="N24:N33">(($Q$23/R24)/10)*SQRT($N$22)</f>
        <v>11900.222675899719</v>
      </c>
      <c r="O24" s="609">
        <f aca="true" t="shared" si="13" ref="O24:O33">(($Q$23/R24)/10)*SQRT($O$22)</f>
        <v>12853.709569303233</v>
      </c>
      <c r="P24" s="299"/>
      <c r="Q24" s="51"/>
      <c r="R24" s="29">
        <f aca="true" t="shared" si="14" ref="R24:R33">((0.278*$K$17*POWER(10,-6)*(($R$18*$U$18)+($R$19*W24)+($R$20*$U$20))))</f>
        <v>0.000120899142</v>
      </c>
      <c r="S24" s="165">
        <f aca="true" t="shared" si="15" ref="S24:S33">($Q$23/R24)/10</f>
        <v>4858.245563575358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1.5</v>
      </c>
    </row>
    <row r="25" spans="2:23" ht="18" customHeight="1">
      <c r="B25" s="15"/>
      <c r="C25" s="62">
        <v>2</v>
      </c>
      <c r="D25" s="610">
        <f t="shared" si="2"/>
        <v>2059.4736628199885</v>
      </c>
      <c r="E25" s="611">
        <f t="shared" si="3"/>
        <v>2912.5355853102224</v>
      </c>
      <c r="F25" s="611">
        <f t="shared" si="4"/>
        <v>4118.947325639977</v>
      </c>
      <c r="G25" s="611">
        <f t="shared" si="5"/>
        <v>5044.659612609663</v>
      </c>
      <c r="H25" s="611">
        <f t="shared" si="6"/>
        <v>5825.071170620445</v>
      </c>
      <c r="I25" s="611">
        <f t="shared" si="7"/>
        <v>6512.627555640795</v>
      </c>
      <c r="J25" s="611">
        <f t="shared" si="8"/>
        <v>7134.226041708389</v>
      </c>
      <c r="K25" s="611">
        <f t="shared" si="9"/>
        <v>7705.8448433567955</v>
      </c>
      <c r="L25" s="611">
        <f t="shared" si="10"/>
        <v>8237.894651279954</v>
      </c>
      <c r="M25" s="611">
        <f t="shared" si="11"/>
        <v>9210.246215871952</v>
      </c>
      <c r="N25" s="611">
        <f t="shared" si="12"/>
        <v>10089.319225219326</v>
      </c>
      <c r="O25" s="612">
        <f t="shared" si="13"/>
        <v>10897.710287017959</v>
      </c>
      <c r="P25" s="299"/>
      <c r="Q25" s="51"/>
      <c r="R25" s="30">
        <f t="shared" si="14"/>
        <v>0.000142598988</v>
      </c>
      <c r="S25" s="78">
        <f t="shared" si="15"/>
        <v>4118.947325639977</v>
      </c>
      <c r="T25" s="3"/>
      <c r="U25" s="10"/>
      <c r="V25" s="323">
        <f t="shared" si="16"/>
        <v>2</v>
      </c>
      <c r="W25" s="324">
        <f t="shared" si="17"/>
        <v>3</v>
      </c>
    </row>
    <row r="26" spans="2:23" ht="18" customHeight="1">
      <c r="B26" s="14"/>
      <c r="C26" s="61">
        <v>2.5</v>
      </c>
      <c r="D26" s="610">
        <f t="shared" si="2"/>
        <v>1913.8543129236255</v>
      </c>
      <c r="E26" s="611">
        <f t="shared" si="3"/>
        <v>2706.598725742833</v>
      </c>
      <c r="F26" s="611">
        <f t="shared" si="4"/>
        <v>3827.708625847251</v>
      </c>
      <c r="G26" s="611">
        <f t="shared" si="5"/>
        <v>4687.966508687767</v>
      </c>
      <c r="H26" s="611">
        <f t="shared" si="6"/>
        <v>5413.197451485666</v>
      </c>
      <c r="I26" s="611">
        <f t="shared" si="7"/>
        <v>6052.138738575284</v>
      </c>
      <c r="J26" s="611">
        <f t="shared" si="8"/>
        <v>6629.785816537088</v>
      </c>
      <c r="K26" s="611">
        <f t="shared" si="9"/>
        <v>7160.9871271598495</v>
      </c>
      <c r="L26" s="611">
        <f t="shared" si="10"/>
        <v>7655.417251694502</v>
      </c>
      <c r="M26" s="611">
        <f t="shared" si="11"/>
        <v>8559.016685456761</v>
      </c>
      <c r="N26" s="611">
        <f t="shared" si="12"/>
        <v>9375.933017375533</v>
      </c>
      <c r="O26" s="612">
        <f t="shared" si="13"/>
        <v>10127.165115208607</v>
      </c>
      <c r="P26" s="299"/>
      <c r="Q26" s="51"/>
      <c r="R26" s="30">
        <f t="shared" si="14"/>
        <v>0.000153448911</v>
      </c>
      <c r="S26" s="78">
        <f t="shared" si="15"/>
        <v>3827.708625847251</v>
      </c>
      <c r="T26" s="3"/>
      <c r="U26" s="10"/>
      <c r="V26" s="323">
        <f t="shared" si="16"/>
        <v>2.5</v>
      </c>
      <c r="W26" s="324">
        <f t="shared" si="17"/>
        <v>3.75</v>
      </c>
    </row>
    <row r="27" spans="3:23" ht="18" customHeight="1">
      <c r="C27" s="61">
        <v>3</v>
      </c>
      <c r="D27" s="610">
        <f t="shared" si="2"/>
        <v>1787.4677073531977</v>
      </c>
      <c r="E27" s="611">
        <f t="shared" si="3"/>
        <v>2527.861074042835</v>
      </c>
      <c r="F27" s="611">
        <f t="shared" si="4"/>
        <v>3574.9354147063955</v>
      </c>
      <c r="G27" s="611">
        <f t="shared" si="5"/>
        <v>4378.383814717821</v>
      </c>
      <c r="H27" s="611">
        <f t="shared" si="6"/>
        <v>5055.72214808567</v>
      </c>
      <c r="I27" s="611">
        <f t="shared" si="7"/>
        <v>5652.469199235408</v>
      </c>
      <c r="J27" s="611">
        <f t="shared" si="8"/>
        <v>6191.969772048791</v>
      </c>
      <c r="K27" s="611">
        <f t="shared" si="9"/>
        <v>6688.091750837974</v>
      </c>
      <c r="L27" s="611">
        <f t="shared" si="10"/>
        <v>7149.870829412791</v>
      </c>
      <c r="M27" s="611">
        <f t="shared" si="11"/>
        <v>7993.798602454902</v>
      </c>
      <c r="N27" s="611">
        <f t="shared" si="12"/>
        <v>8756.767629435642</v>
      </c>
      <c r="O27" s="612">
        <f t="shared" si="13"/>
        <v>9458.390060430682</v>
      </c>
      <c r="P27" s="299"/>
      <c r="Q27" s="51"/>
      <c r="R27" s="30">
        <f t="shared" si="14"/>
        <v>0.00016429883399999998</v>
      </c>
      <c r="S27" s="78">
        <f t="shared" si="15"/>
        <v>3574.9354147063955</v>
      </c>
      <c r="T27" s="3"/>
      <c r="U27" s="10"/>
      <c r="V27" s="323">
        <f t="shared" si="16"/>
        <v>3</v>
      </c>
      <c r="W27" s="324">
        <f t="shared" si="17"/>
        <v>4.5</v>
      </c>
    </row>
    <row r="28" spans="2:23" ht="18" customHeight="1">
      <c r="B28" s="14"/>
      <c r="C28" s="62">
        <v>3.5</v>
      </c>
      <c r="D28" s="610">
        <f t="shared" si="2"/>
        <v>1676.7396192870704</v>
      </c>
      <c r="E28" s="611">
        <f t="shared" si="3"/>
        <v>2371.267910164075</v>
      </c>
      <c r="F28" s="611">
        <f t="shared" si="4"/>
        <v>3353.4792385741407</v>
      </c>
      <c r="G28" s="611">
        <f t="shared" si="5"/>
        <v>4107.156498761849</v>
      </c>
      <c r="H28" s="611">
        <f t="shared" si="6"/>
        <v>4742.53582032815</v>
      </c>
      <c r="I28" s="611">
        <f t="shared" si="7"/>
        <v>5302.316239990736</v>
      </c>
      <c r="J28" s="611">
        <f t="shared" si="8"/>
        <v>5808.396423337804</v>
      </c>
      <c r="K28" s="611">
        <f t="shared" si="9"/>
        <v>6273.785182201993</v>
      </c>
      <c r="L28" s="611">
        <f t="shared" si="10"/>
        <v>6706.958477148281</v>
      </c>
      <c r="M28" s="611">
        <f t="shared" si="11"/>
        <v>7498.607538586014</v>
      </c>
      <c r="N28" s="611">
        <f t="shared" si="12"/>
        <v>8214.312997523699</v>
      </c>
      <c r="O28" s="612">
        <f t="shared" si="13"/>
        <v>8872.472092085418</v>
      </c>
      <c r="P28" s="299"/>
      <c r="Q28" s="51"/>
      <c r="R28" s="30">
        <f t="shared" si="14"/>
        <v>0.000175148757</v>
      </c>
      <c r="S28" s="78">
        <f t="shared" si="15"/>
        <v>3353.4792385741407</v>
      </c>
      <c r="T28" s="3"/>
      <c r="U28" s="10"/>
      <c r="V28" s="323">
        <f t="shared" si="16"/>
        <v>3.5</v>
      </c>
      <c r="W28" s="324">
        <f t="shared" si="17"/>
        <v>5.25</v>
      </c>
    </row>
    <row r="29" spans="3:23" ht="18" customHeight="1">
      <c r="C29" s="61">
        <v>4</v>
      </c>
      <c r="D29" s="610">
        <f t="shared" si="2"/>
        <v>1578.929808161991</v>
      </c>
      <c r="E29" s="611">
        <f t="shared" si="3"/>
        <v>2232.943948737837</v>
      </c>
      <c r="F29" s="611">
        <f t="shared" si="4"/>
        <v>3157.859616323982</v>
      </c>
      <c r="G29" s="611">
        <f t="shared" si="5"/>
        <v>3867.572369667408</v>
      </c>
      <c r="H29" s="611">
        <f t="shared" si="6"/>
        <v>4465.887897475674</v>
      </c>
      <c r="I29" s="611">
        <f t="shared" si="7"/>
        <v>4993.01445932461</v>
      </c>
      <c r="J29" s="611">
        <f t="shared" si="8"/>
        <v>5469.5732986430985</v>
      </c>
      <c r="K29" s="611">
        <f t="shared" si="9"/>
        <v>5907.814379906876</v>
      </c>
      <c r="L29" s="611">
        <f t="shared" si="10"/>
        <v>6315.719232647964</v>
      </c>
      <c r="M29" s="611">
        <f t="shared" si="11"/>
        <v>7061.188765501829</v>
      </c>
      <c r="N29" s="611">
        <f t="shared" si="12"/>
        <v>7735.144739334816</v>
      </c>
      <c r="O29" s="612">
        <f t="shared" si="13"/>
        <v>8354.9112200471</v>
      </c>
      <c r="P29" s="299"/>
      <c r="Q29" s="51"/>
      <c r="R29" s="30">
        <f t="shared" si="14"/>
        <v>0.00018599868</v>
      </c>
      <c r="S29" s="78">
        <f t="shared" si="15"/>
        <v>3157.859616323982</v>
      </c>
      <c r="T29" s="3"/>
      <c r="U29" s="10"/>
      <c r="V29" s="323">
        <f t="shared" si="16"/>
        <v>4</v>
      </c>
      <c r="W29" s="324">
        <f t="shared" si="17"/>
        <v>6</v>
      </c>
    </row>
    <row r="30" spans="3:23" ht="18" customHeight="1">
      <c r="C30" s="61">
        <v>5</v>
      </c>
      <c r="D30" s="610">
        <f t="shared" si="2"/>
        <v>1413.9669923838726</v>
      </c>
      <c r="E30" s="611">
        <f t="shared" si="3"/>
        <v>1999.6512973771676</v>
      </c>
      <c r="F30" s="611">
        <f t="shared" si="4"/>
        <v>2827.933984767745</v>
      </c>
      <c r="G30" s="611">
        <f t="shared" si="5"/>
        <v>3463.4976444782756</v>
      </c>
      <c r="H30" s="611">
        <f t="shared" si="6"/>
        <v>3999.302594754335</v>
      </c>
      <c r="I30" s="611">
        <f t="shared" si="7"/>
        <v>4471.356232230994</v>
      </c>
      <c r="J30" s="611">
        <f t="shared" si="8"/>
        <v>4898.125342068446</v>
      </c>
      <c r="K30" s="611">
        <f t="shared" si="9"/>
        <v>5290.58004170765</v>
      </c>
      <c r="L30" s="611">
        <f t="shared" si="10"/>
        <v>5655.86796953549</v>
      </c>
      <c r="M30" s="611">
        <f t="shared" si="11"/>
        <v>6323.452625822533</v>
      </c>
      <c r="N30" s="611">
        <f t="shared" si="12"/>
        <v>6926.995288956551</v>
      </c>
      <c r="O30" s="612">
        <f t="shared" si="13"/>
        <v>7482.010047803374</v>
      </c>
      <c r="P30" s="299"/>
      <c r="Q30" s="51"/>
      <c r="R30" s="30">
        <f t="shared" si="14"/>
        <v>0.00020769852600000002</v>
      </c>
      <c r="S30" s="78">
        <f t="shared" si="15"/>
        <v>2827.933984767745</v>
      </c>
      <c r="T30" s="3"/>
      <c r="U30" s="10"/>
      <c r="V30" s="323">
        <f t="shared" si="16"/>
        <v>5</v>
      </c>
      <c r="W30" s="324">
        <f t="shared" si="17"/>
        <v>7.5</v>
      </c>
    </row>
    <row r="31" spans="3:23" ht="18" customHeight="1">
      <c r="C31" s="62">
        <v>6</v>
      </c>
      <c r="D31" s="610">
        <f t="shared" si="2"/>
        <v>1280.2133579691822</v>
      </c>
      <c r="E31" s="611">
        <f t="shared" si="3"/>
        <v>1810.4950935712197</v>
      </c>
      <c r="F31" s="611">
        <f t="shared" si="4"/>
        <v>2560.4267159383644</v>
      </c>
      <c r="G31" s="611">
        <f t="shared" si="5"/>
        <v>3135.8694889195203</v>
      </c>
      <c r="H31" s="611">
        <f t="shared" si="6"/>
        <v>3620.9901871424395</v>
      </c>
      <c r="I31" s="611">
        <f t="shared" si="7"/>
        <v>4048.3901021550896</v>
      </c>
      <c r="J31" s="611">
        <f t="shared" si="8"/>
        <v>4434.789161061972</v>
      </c>
      <c r="K31" s="611">
        <f t="shared" si="9"/>
        <v>4790.119767492062</v>
      </c>
      <c r="L31" s="611">
        <f t="shared" si="10"/>
        <v>5120.853431876729</v>
      </c>
      <c r="M31" s="611">
        <f t="shared" si="11"/>
        <v>5725.288188244727</v>
      </c>
      <c r="N31" s="611">
        <f t="shared" si="12"/>
        <v>6271.738977839041</v>
      </c>
      <c r="O31" s="612">
        <f t="shared" si="13"/>
        <v>6774.252340578732</v>
      </c>
      <c r="P31" s="299"/>
      <c r="Q31" s="51"/>
      <c r="R31" s="30">
        <f t="shared" si="14"/>
        <v>0.000229398372</v>
      </c>
      <c r="S31" s="78">
        <f t="shared" si="15"/>
        <v>2560.4267159383644</v>
      </c>
      <c r="T31" s="3"/>
      <c r="U31" s="10"/>
      <c r="V31" s="323">
        <f t="shared" si="16"/>
        <v>6</v>
      </c>
      <c r="W31" s="324">
        <f t="shared" si="17"/>
        <v>9</v>
      </c>
    </row>
    <row r="32" spans="2:23" ht="18" customHeight="1">
      <c r="B32" s="20"/>
      <c r="C32" s="61">
        <v>7</v>
      </c>
      <c r="D32" s="610">
        <f t="shared" si="2"/>
        <v>1169.5776356755491</v>
      </c>
      <c r="E32" s="611">
        <f t="shared" si="3"/>
        <v>1654.0325546206204</v>
      </c>
      <c r="F32" s="611">
        <f t="shared" si="4"/>
        <v>2339.1552713510982</v>
      </c>
      <c r="G32" s="611">
        <f t="shared" si="5"/>
        <v>2864.868421975858</v>
      </c>
      <c r="H32" s="611">
        <f t="shared" si="6"/>
        <v>3308.065109241241</v>
      </c>
      <c r="I32" s="611">
        <f t="shared" si="7"/>
        <v>3698.529229129341</v>
      </c>
      <c r="J32" s="611">
        <f t="shared" si="8"/>
        <v>4051.535776772666</v>
      </c>
      <c r="K32" s="611">
        <f t="shared" si="9"/>
        <v>4376.1587999310195</v>
      </c>
      <c r="L32" s="611">
        <f t="shared" si="10"/>
        <v>4678.3105427021965</v>
      </c>
      <c r="M32" s="611">
        <f t="shared" si="11"/>
        <v>5230.510196668022</v>
      </c>
      <c r="N32" s="611">
        <f t="shared" si="12"/>
        <v>5729.736843951716</v>
      </c>
      <c r="O32" s="612">
        <f t="shared" si="13"/>
        <v>6188.8231259608165</v>
      </c>
      <c r="P32" s="299"/>
      <c r="Q32" s="51"/>
      <c r="R32" s="30">
        <f t="shared" si="14"/>
        <v>0.000251098218</v>
      </c>
      <c r="S32" s="78">
        <f t="shared" si="15"/>
        <v>2339.1552713510982</v>
      </c>
      <c r="T32" s="3"/>
      <c r="U32" s="10"/>
      <c r="V32" s="323">
        <f t="shared" si="16"/>
        <v>7</v>
      </c>
      <c r="W32" s="324">
        <f t="shared" si="17"/>
        <v>10.5</v>
      </c>
    </row>
    <row r="33" spans="3:23" ht="18" customHeight="1" thickBot="1">
      <c r="C33" s="63">
        <v>8</v>
      </c>
      <c r="D33" s="613">
        <f t="shared" si="2"/>
        <v>1076.5430510195395</v>
      </c>
      <c r="E33" s="614">
        <f t="shared" si="3"/>
        <v>1522.4617832303436</v>
      </c>
      <c r="F33" s="614">
        <f t="shared" si="4"/>
        <v>2153.086102039079</v>
      </c>
      <c r="G33" s="614">
        <f t="shared" si="5"/>
        <v>2636.981161136869</v>
      </c>
      <c r="H33" s="614">
        <f t="shared" si="6"/>
        <v>3044.923566460687</v>
      </c>
      <c r="I33" s="614">
        <f t="shared" si="7"/>
        <v>3404.3280404485977</v>
      </c>
      <c r="J33" s="614">
        <f t="shared" si="8"/>
        <v>3729.254521802113</v>
      </c>
      <c r="K33" s="614">
        <f t="shared" si="9"/>
        <v>4028.055259027416</v>
      </c>
      <c r="L33" s="614">
        <f t="shared" si="10"/>
        <v>4306.172204078158</v>
      </c>
      <c r="M33" s="614">
        <f t="shared" si="11"/>
        <v>4814.4468855694295</v>
      </c>
      <c r="N33" s="614">
        <f t="shared" si="12"/>
        <v>5273.962322273738</v>
      </c>
      <c r="O33" s="615">
        <f t="shared" si="13"/>
        <v>5696.530377304843</v>
      </c>
      <c r="P33" s="299"/>
      <c r="Q33" s="53"/>
      <c r="R33" s="54">
        <f t="shared" si="14"/>
        <v>0.000272798064</v>
      </c>
      <c r="S33" s="106">
        <f t="shared" si="15"/>
        <v>2153.086102039079</v>
      </c>
      <c r="T33" s="56"/>
      <c r="U33" s="57"/>
      <c r="V33" s="325">
        <f t="shared" si="16"/>
        <v>8</v>
      </c>
      <c r="W33" s="326">
        <f t="shared" si="17"/>
        <v>12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14210.36827345792</v>
      </c>
      <c r="F35" s="920"/>
      <c r="G35" s="3" t="s">
        <v>33</v>
      </c>
      <c r="H35" s="183" t="s">
        <v>280</v>
      </c>
      <c r="I35" s="606">
        <f>R18</f>
        <v>0.6</v>
      </c>
      <c r="J35" s="3" t="s">
        <v>282</v>
      </c>
      <c r="K35" s="606">
        <f>R19</f>
        <v>0.35</v>
      </c>
      <c r="L35" s="3" t="s">
        <v>291</v>
      </c>
      <c r="M35" s="5" t="s">
        <v>284</v>
      </c>
      <c r="N35" s="3"/>
      <c r="O35" s="83"/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154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5.873577202615672</v>
      </c>
      <c r="T38" s="1"/>
      <c r="U38" s="1"/>
    </row>
    <row r="39" spans="3:21" ht="15" customHeight="1">
      <c r="C39" s="82"/>
      <c r="D39" s="6" t="s">
        <v>112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4.133304E-05</v>
      </c>
      <c r="T39" s="1"/>
      <c r="U39" s="1"/>
    </row>
    <row r="40" spans="3:21" ht="15" customHeight="1">
      <c r="C40" s="82"/>
      <c r="D40" s="6" t="s">
        <v>155</v>
      </c>
      <c r="E40" s="5" t="s">
        <v>28</v>
      </c>
      <c r="F40" s="5"/>
      <c r="G40" s="5"/>
      <c r="H40" s="5"/>
      <c r="I40" s="5"/>
      <c r="J40" s="5"/>
      <c r="K40" s="5"/>
      <c r="L40" s="131" t="s">
        <v>34</v>
      </c>
      <c r="M40" s="6"/>
      <c r="N40" s="5"/>
      <c r="O40" s="83"/>
      <c r="P40" s="299"/>
      <c r="Q40" s="102">
        <f>(Q38/Q39)/10</f>
        <v>14210.36827345792</v>
      </c>
      <c r="T40" s="1"/>
      <c r="U40" s="1"/>
    </row>
    <row r="41" spans="3:21" ht="15" customHeight="1">
      <c r="C41" s="82"/>
      <c r="D41" s="6" t="s">
        <v>100</v>
      </c>
      <c r="E41" s="5" t="s">
        <v>292</v>
      </c>
      <c r="F41" s="5"/>
      <c r="G41" s="5"/>
      <c r="H41" s="5"/>
      <c r="I41" s="5"/>
      <c r="J41" s="5"/>
      <c r="K41" s="5"/>
      <c r="L41" s="130">
        <v>4</v>
      </c>
      <c r="M41" s="6"/>
      <c r="N41" s="5"/>
      <c r="O41" s="83"/>
      <c r="P41" s="299"/>
      <c r="Q41" s="99"/>
      <c r="T41" s="1"/>
      <c r="U41" s="1"/>
    </row>
    <row r="42" spans="3:21" ht="15" customHeight="1">
      <c r="C42" s="82"/>
      <c r="D42" s="6"/>
      <c r="E42" s="5"/>
      <c r="F42" s="5"/>
      <c r="G42" s="5"/>
      <c r="H42" s="5"/>
      <c r="I42" s="5"/>
      <c r="J42" s="5"/>
      <c r="K42" s="5"/>
      <c r="L42" s="130"/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</sheetData>
  <sheetProtection/>
  <mergeCells count="25">
    <mergeCell ref="E35:F35"/>
    <mergeCell ref="M22:M23"/>
    <mergeCell ref="N22:N23"/>
    <mergeCell ref="J14:K14"/>
    <mergeCell ref="L14:N14"/>
    <mergeCell ref="H22:H23"/>
    <mergeCell ref="F22:F23"/>
    <mergeCell ref="G2:O2"/>
    <mergeCell ref="G3:O3"/>
    <mergeCell ref="G5:O5"/>
    <mergeCell ref="D10:M10"/>
    <mergeCell ref="D8:M8"/>
    <mergeCell ref="G4:O4"/>
    <mergeCell ref="C7:O7"/>
    <mergeCell ref="C2:F5"/>
    <mergeCell ref="D12:M12"/>
    <mergeCell ref="D20:O21"/>
    <mergeCell ref="J22:J23"/>
    <mergeCell ref="K22:K23"/>
    <mergeCell ref="L22:L23"/>
    <mergeCell ref="G22:G23"/>
    <mergeCell ref="O22:O23"/>
    <mergeCell ref="I22:I23"/>
    <mergeCell ref="D22:D23"/>
    <mergeCell ref="E22:E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4"/>
  <legacyDrawing r:id="rId3"/>
  <oleObjects>
    <oleObject progId="Equation.3" shapeId="2566042" r:id="rId1"/>
    <oleObject progId="Equation.3" shapeId="25660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0">
      <selection activeCell="P20" sqref="P20"/>
    </sheetView>
  </sheetViews>
  <sheetFormatPr defaultColWidth="9.140625" defaultRowHeight="12.75"/>
  <cols>
    <col min="1" max="1" width="2.421875" style="2" customWidth="1"/>
    <col min="2" max="2" width="11.00390625" style="2" customWidth="1"/>
    <col min="3" max="12" width="7.28125" style="2" customWidth="1"/>
    <col min="13" max="13" width="4.57421875" style="5" customWidth="1"/>
    <col min="14" max="14" width="5.7109375" style="2" customWidth="1"/>
    <col min="15" max="15" width="17.28125" style="2" customWidth="1"/>
    <col min="16" max="16" width="8.140625" style="2" customWidth="1"/>
    <col min="17" max="17" width="7.8515625" style="2" customWidth="1"/>
    <col min="18" max="18" width="7.421875" style="2" customWidth="1"/>
    <col min="19" max="19" width="6.00390625" style="2" customWidth="1"/>
    <col min="20" max="20" width="7.7109375" style="2" customWidth="1"/>
    <col min="21" max="21" width="8.28125" style="2" customWidth="1"/>
    <col min="22" max="22" width="7.00390625" style="2" customWidth="1"/>
    <col min="23" max="23" width="5.140625" style="2" customWidth="1"/>
    <col min="24" max="24" width="4.57421875" style="2" customWidth="1"/>
    <col min="25" max="25" width="2.140625" style="2" customWidth="1"/>
    <col min="26" max="26" width="2.421875" style="2" customWidth="1"/>
    <col min="27" max="27" width="5.8515625" style="2" customWidth="1"/>
    <col min="28" max="28" width="1.8515625" style="2" customWidth="1"/>
    <col min="29" max="29" width="2.00390625" style="2" customWidth="1"/>
    <col min="30" max="30" width="10.57421875" style="2" customWidth="1"/>
    <col min="31" max="31" width="9.8515625" style="2" customWidth="1"/>
    <col min="32" max="16384" width="9.140625" style="2" customWidth="1"/>
  </cols>
  <sheetData>
    <row r="1" ht="5.25" customHeight="1">
      <c r="G1" s="5"/>
    </row>
    <row r="2" spans="2:17" ht="19.5" customHeight="1">
      <c r="B2" s="878"/>
      <c r="C2" s="879"/>
      <c r="D2" s="879"/>
      <c r="E2" s="880"/>
      <c r="F2" s="861" t="str">
        <f>'[10]BASE'!$G$2</f>
        <v>PROJETO   DE  DRENAGEM</v>
      </c>
      <c r="G2" s="862"/>
      <c r="H2" s="862"/>
      <c r="I2" s="862"/>
      <c r="J2" s="862"/>
      <c r="K2" s="862"/>
      <c r="L2" s="863"/>
      <c r="M2" s="190"/>
      <c r="N2" s="190"/>
      <c r="P2" s="129"/>
      <c r="Q2" s="129"/>
    </row>
    <row r="3" spans="2:17" ht="19.5" customHeight="1">
      <c r="B3" s="881"/>
      <c r="C3" s="882"/>
      <c r="D3" s="882"/>
      <c r="E3" s="883"/>
      <c r="F3" s="864" t="s">
        <v>366</v>
      </c>
      <c r="G3" s="865"/>
      <c r="H3" s="865"/>
      <c r="I3" s="865"/>
      <c r="J3" s="865"/>
      <c r="K3" s="865"/>
      <c r="L3" s="866"/>
      <c r="M3" s="190"/>
      <c r="N3" s="190"/>
      <c r="P3" s="129"/>
      <c r="Q3" s="129"/>
    </row>
    <row r="4" spans="2:29" ht="19.5" customHeight="1" thickBot="1">
      <c r="B4" s="881"/>
      <c r="C4" s="882"/>
      <c r="D4" s="882"/>
      <c r="E4" s="883"/>
      <c r="F4" s="864" t="s">
        <v>367</v>
      </c>
      <c r="G4" s="865"/>
      <c r="H4" s="865"/>
      <c r="I4" s="865"/>
      <c r="J4" s="865"/>
      <c r="K4" s="865"/>
      <c r="L4" s="866"/>
      <c r="M4" s="190"/>
      <c r="N4" s="190"/>
      <c r="O4" s="2" t="s">
        <v>61</v>
      </c>
      <c r="T4" s="133" t="s">
        <v>62</v>
      </c>
      <c r="U4" s="134" t="s">
        <v>63</v>
      </c>
      <c r="V4" s="135" t="s">
        <v>64</v>
      </c>
      <c r="W4" s="37" t="s">
        <v>33</v>
      </c>
      <c r="X4" s="136" t="s">
        <v>65</v>
      </c>
      <c r="Y4" s="137" t="s">
        <v>33</v>
      </c>
      <c r="Z4" s="138" t="s">
        <v>66</v>
      </c>
      <c r="AA4" s="139" t="s">
        <v>67</v>
      </c>
      <c r="AB4" s="140" t="s">
        <v>33</v>
      </c>
      <c r="AC4" s="141" t="s">
        <v>66</v>
      </c>
    </row>
    <row r="5" spans="2:26" ht="19.5" customHeight="1">
      <c r="B5" s="884"/>
      <c r="C5" s="885"/>
      <c r="D5" s="885"/>
      <c r="E5" s="886"/>
      <c r="F5" s="867"/>
      <c r="G5" s="868"/>
      <c r="H5" s="868"/>
      <c r="I5" s="868"/>
      <c r="J5" s="868"/>
      <c r="K5" s="868"/>
      <c r="L5" s="869"/>
      <c r="M5" s="190"/>
      <c r="N5" s="190"/>
      <c r="O5" s="14"/>
      <c r="U5" s="142"/>
      <c r="V5" s="143"/>
      <c r="W5" s="144"/>
      <c r="X5" s="838" t="s">
        <v>68</v>
      </c>
      <c r="Y5" s="838"/>
      <c r="Z5" s="839"/>
    </row>
    <row r="6" spans="2:12" ht="12.75">
      <c r="B6" s="82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18" s="75" customFormat="1" ht="21" customHeight="1">
      <c r="B7" s="873" t="s">
        <v>332</v>
      </c>
      <c r="C7" s="874"/>
      <c r="D7" s="874"/>
      <c r="E7" s="874"/>
      <c r="F7" s="874"/>
      <c r="G7" s="874"/>
      <c r="H7" s="874"/>
      <c r="I7" s="874"/>
      <c r="J7" s="874"/>
      <c r="K7" s="874"/>
      <c r="L7" s="875"/>
      <c r="M7" s="116"/>
      <c r="N7" s="14" t="s">
        <v>69</v>
      </c>
      <c r="O7" s="2" t="s">
        <v>70</v>
      </c>
      <c r="P7" s="2"/>
      <c r="R7" s="145" t="s">
        <v>71</v>
      </c>
    </row>
    <row r="8" spans="2:18" s="75" customFormat="1" ht="12.75" customHeight="1">
      <c r="B8" s="103"/>
      <c r="C8" s="105"/>
      <c r="D8" s="105"/>
      <c r="E8" s="105"/>
      <c r="F8" s="105"/>
      <c r="G8" s="105"/>
      <c r="H8" s="105"/>
      <c r="I8" s="105"/>
      <c r="J8" s="105"/>
      <c r="K8" s="105"/>
      <c r="L8" s="688"/>
      <c r="M8" s="117"/>
      <c r="N8" s="14" t="s">
        <v>69</v>
      </c>
      <c r="O8" s="2" t="s">
        <v>70</v>
      </c>
      <c r="P8" s="2"/>
      <c r="R8" s="145" t="s">
        <v>72</v>
      </c>
    </row>
    <row r="9" spans="2:31" ht="18.75" customHeight="1">
      <c r="B9" s="82"/>
      <c r="C9" s="5"/>
      <c r="D9" s="5"/>
      <c r="E9" s="5"/>
      <c r="F9" s="5"/>
      <c r="G9" s="5"/>
      <c r="H9" s="5"/>
      <c r="I9" s="5"/>
      <c r="J9" s="5"/>
      <c r="K9" s="5"/>
      <c r="L9" s="83"/>
      <c r="N9" s="14" t="s">
        <v>69</v>
      </c>
      <c r="O9" s="2" t="s">
        <v>70</v>
      </c>
      <c r="Q9" s="146" t="s">
        <v>73</v>
      </c>
      <c r="R9" s="840" t="s">
        <v>74</v>
      </c>
      <c r="S9" s="840"/>
      <c r="T9" s="840"/>
      <c r="U9" s="840"/>
      <c r="V9" s="840"/>
      <c r="W9" s="840"/>
      <c r="X9" s="840"/>
      <c r="Y9" s="148" t="s">
        <v>75</v>
      </c>
      <c r="Z9" s="2" t="s">
        <v>33</v>
      </c>
      <c r="AA9" s="695" t="s">
        <v>355</v>
      </c>
      <c r="AD9" s="149"/>
      <c r="AE9" s="150"/>
    </row>
    <row r="10" spans="2:31" ht="18">
      <c r="B10" s="887" t="s">
        <v>333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9"/>
      <c r="M10" s="178"/>
      <c r="N10" s="14" t="s">
        <v>69</v>
      </c>
      <c r="O10" s="2" t="s">
        <v>70</v>
      </c>
      <c r="Q10" s="146" t="s">
        <v>73</v>
      </c>
      <c r="R10" s="151" t="s">
        <v>76</v>
      </c>
      <c r="S10" s="840" t="s">
        <v>77</v>
      </c>
      <c r="T10" s="840"/>
      <c r="U10" s="840"/>
      <c r="V10" s="840"/>
      <c r="W10" s="840"/>
      <c r="X10" s="840"/>
      <c r="Y10" s="148" t="s">
        <v>75</v>
      </c>
      <c r="Z10" s="2" t="s">
        <v>33</v>
      </c>
      <c r="AA10" s="695" t="s">
        <v>355</v>
      </c>
      <c r="AD10" s="5"/>
      <c r="AE10" s="152"/>
    </row>
    <row r="11" spans="2:31" ht="18">
      <c r="B11" s="870" t="s">
        <v>334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2"/>
      <c r="M11" s="178"/>
      <c r="O11" s="153" t="s">
        <v>60</v>
      </c>
      <c r="P11" s="154" t="s">
        <v>78</v>
      </c>
      <c r="AA11" s="696" t="s">
        <v>355</v>
      </c>
      <c r="AB11" s="155"/>
      <c r="AC11" s="155"/>
      <c r="AD11" s="689" t="s">
        <v>79</v>
      </c>
      <c r="AE11" s="697"/>
    </row>
    <row r="12" spans="2:21" ht="17.25">
      <c r="B12" s="698"/>
      <c r="C12" s="891" t="s">
        <v>24</v>
      </c>
      <c r="D12" s="891"/>
      <c r="E12" s="891"/>
      <c r="F12" s="891"/>
      <c r="G12" s="891"/>
      <c r="H12" s="891"/>
      <c r="I12" s="891"/>
      <c r="J12" s="891"/>
      <c r="K12" s="891"/>
      <c r="L12" s="892"/>
      <c r="M12" s="178"/>
      <c r="O12" s="300" t="s">
        <v>335</v>
      </c>
      <c r="P12" s="699">
        <v>0.015</v>
      </c>
      <c r="S12" s="156" t="s">
        <v>80</v>
      </c>
      <c r="T12" s="690" t="s">
        <v>81</v>
      </c>
      <c r="U12" s="691"/>
    </row>
    <row r="13" spans="2:31" ht="15" customHeight="1">
      <c r="B13" s="700"/>
      <c r="C13" s="12"/>
      <c r="D13" s="12"/>
      <c r="E13" s="12"/>
      <c r="F13" s="12"/>
      <c r="G13" s="12"/>
      <c r="H13" s="12"/>
      <c r="I13" s="178"/>
      <c r="J13" s="178"/>
      <c r="K13" s="178"/>
      <c r="L13" s="675"/>
      <c r="M13" s="178"/>
      <c r="O13" s="300" t="s">
        <v>336</v>
      </c>
      <c r="P13" s="699">
        <v>0.03</v>
      </c>
      <c r="R13" s="841" t="s">
        <v>31</v>
      </c>
      <c r="S13" s="164" t="s">
        <v>82</v>
      </c>
      <c r="T13" s="157" t="s">
        <v>33</v>
      </c>
      <c r="U13" s="843" t="s">
        <v>83</v>
      </c>
      <c r="V13" s="844"/>
      <c r="W13" s="147"/>
      <c r="X13" s="845" t="s">
        <v>84</v>
      </c>
      <c r="Y13" s="845"/>
      <c r="Z13" s="845"/>
      <c r="AA13" s="162">
        <v>0.7562</v>
      </c>
      <c r="AD13" s="158"/>
      <c r="AE13" s="159"/>
    </row>
    <row r="14" spans="2:30" ht="15" customHeight="1">
      <c r="B14" s="700" t="s">
        <v>4</v>
      </c>
      <c r="C14" s="125">
        <v>0.96</v>
      </c>
      <c r="D14" s="178" t="s">
        <v>8</v>
      </c>
      <c r="E14" s="12"/>
      <c r="F14" s="12"/>
      <c r="G14" s="12"/>
      <c r="H14" s="12"/>
      <c r="I14" s="241" t="str">
        <f>'[8]BASE '!$J$14</f>
        <v>POSTO:</v>
      </c>
      <c r="J14" s="876" t="s">
        <v>368</v>
      </c>
      <c r="K14" s="876"/>
      <c r="L14" s="877"/>
      <c r="M14" s="701"/>
      <c r="O14" s="300" t="s">
        <v>337</v>
      </c>
      <c r="P14" s="699">
        <v>0.025</v>
      </c>
      <c r="R14" s="842"/>
      <c r="S14" s="846" t="s">
        <v>85</v>
      </c>
      <c r="T14" s="846"/>
      <c r="U14" s="846"/>
      <c r="V14" s="160"/>
      <c r="W14" s="147"/>
      <c r="X14" s="847" t="s">
        <v>86</v>
      </c>
      <c r="Y14" s="847"/>
      <c r="Z14" s="847"/>
      <c r="AA14" s="161">
        <v>39.401</v>
      </c>
      <c r="AD14" s="166">
        <f>0.278*J17*POWER(10,-5)</f>
        <v>0.00035028000000000007</v>
      </c>
    </row>
    <row r="15" spans="2:30" ht="15" customHeight="1">
      <c r="B15" s="700" t="s">
        <v>5</v>
      </c>
      <c r="C15" s="125">
        <v>2.6971</v>
      </c>
      <c r="D15" s="178" t="s">
        <v>7</v>
      </c>
      <c r="E15" s="702"/>
      <c r="F15" s="702"/>
      <c r="G15" s="702"/>
      <c r="H15" s="702"/>
      <c r="I15" s="703" t="str">
        <f>'[10]BASE'!J15</f>
        <v>Tr  =</v>
      </c>
      <c r="J15" s="34">
        <f>'[8]BASE '!K15</f>
        <v>10</v>
      </c>
      <c r="K15" s="178" t="str">
        <f>'[10]BASE'!L15</f>
        <v>anos</v>
      </c>
      <c r="L15" s="675"/>
      <c r="M15" s="178"/>
      <c r="N15" s="1"/>
      <c r="O15" s="704"/>
      <c r="AD15" s="163">
        <f>$AA$13/$AD$14</f>
        <v>2158.8443530889567</v>
      </c>
    </row>
    <row r="16" spans="2:13" ht="15" customHeight="1">
      <c r="B16" s="700" t="s">
        <v>6</v>
      </c>
      <c r="C16" s="125">
        <f>C14/C15</f>
        <v>0.3559378591820845</v>
      </c>
      <c r="D16" s="702" t="s">
        <v>7</v>
      </c>
      <c r="E16" s="705">
        <f>POWER($C$16,2/3)</f>
        <v>0.5022455791162134</v>
      </c>
      <c r="F16" s="702"/>
      <c r="G16" s="702"/>
      <c r="H16" s="702"/>
      <c r="I16" s="703" t="str">
        <f>'[10]BASE'!J16</f>
        <v>Tc =</v>
      </c>
      <c r="J16" s="34">
        <f>'[8]BASE '!K16</f>
        <v>10</v>
      </c>
      <c r="K16" s="178" t="str">
        <f>'[10]BASE'!L16</f>
        <v>minutos</v>
      </c>
      <c r="L16" s="675"/>
      <c r="M16" s="178"/>
    </row>
    <row r="17" spans="2:13" ht="15" customHeight="1">
      <c r="B17" s="700" t="s">
        <v>9</v>
      </c>
      <c r="C17" s="125">
        <v>0.025</v>
      </c>
      <c r="D17" s="178"/>
      <c r="E17" s="178"/>
      <c r="F17" s="178"/>
      <c r="G17" s="178"/>
      <c r="H17" s="178"/>
      <c r="I17" s="703" t="str">
        <f>'[10]BASE'!J17</f>
        <v>I   =</v>
      </c>
      <c r="J17" s="34">
        <v>126</v>
      </c>
      <c r="K17" s="702" t="str">
        <f>'[10]BASE'!L17</f>
        <v>mm/h</v>
      </c>
      <c r="L17" s="675"/>
      <c r="M17" s="178"/>
    </row>
    <row r="18" spans="2:21" ht="15" customHeight="1">
      <c r="B18" s="184" t="s">
        <v>97</v>
      </c>
      <c r="C18" s="186">
        <f aca="true" t="shared" si="0" ref="C18:L18">C19*$C$14</f>
        <v>1.9286230238062592</v>
      </c>
      <c r="D18" s="186">
        <f t="shared" si="0"/>
        <v>2.72748483697182</v>
      </c>
      <c r="E18" s="186">
        <f t="shared" si="0"/>
        <v>3.3404730658795607</v>
      </c>
      <c r="F18" s="186">
        <f t="shared" si="0"/>
        <v>3.8572460476125183</v>
      </c>
      <c r="G18" s="186">
        <f t="shared" si="0"/>
        <v>4.312532184201991</v>
      </c>
      <c r="H18" s="186">
        <f t="shared" si="0"/>
        <v>4.724142314508908</v>
      </c>
      <c r="I18" s="186">
        <f t="shared" si="0"/>
        <v>5.102656893784765</v>
      </c>
      <c r="J18" s="186">
        <f t="shared" si="0"/>
        <v>5.45496967394364</v>
      </c>
      <c r="K18" s="186">
        <f t="shared" si="0"/>
        <v>5.785869071418777</v>
      </c>
      <c r="L18" s="187">
        <f t="shared" si="0"/>
        <v>6.098841503068922</v>
      </c>
      <c r="M18" s="617"/>
      <c r="N18" s="848" t="s">
        <v>338</v>
      </c>
      <c r="O18" s="848"/>
      <c r="P18" s="706">
        <v>0.6</v>
      </c>
      <c r="Q18" s="591">
        <v>0.25</v>
      </c>
      <c r="R18" s="591">
        <f>P18*Q18</f>
        <v>0.15</v>
      </c>
      <c r="S18" s="5"/>
      <c r="T18" s="5"/>
      <c r="U18" s="5"/>
    </row>
    <row r="19" spans="2:21" ht="15" customHeight="1">
      <c r="B19" s="185" t="s">
        <v>16</v>
      </c>
      <c r="C19" s="186">
        <f aca="true" t="shared" si="1" ref="C19:L19">($E$16/$C$17)*POWER(C22/100,1/2)</f>
        <v>2.0089823164648535</v>
      </c>
      <c r="D19" s="186">
        <f t="shared" si="1"/>
        <v>2.8411300385123126</v>
      </c>
      <c r="E19" s="186">
        <f t="shared" si="1"/>
        <v>3.4796594436245427</v>
      </c>
      <c r="F19" s="186">
        <f t="shared" si="1"/>
        <v>4.017964632929707</v>
      </c>
      <c r="G19" s="186">
        <f t="shared" si="1"/>
        <v>4.492221025210407</v>
      </c>
      <c r="H19" s="186">
        <f t="shared" si="1"/>
        <v>4.920981577613446</v>
      </c>
      <c r="I19" s="186">
        <f t="shared" si="1"/>
        <v>5.315267597692464</v>
      </c>
      <c r="J19" s="186">
        <f t="shared" si="1"/>
        <v>5.682260077024625</v>
      </c>
      <c r="K19" s="186">
        <f t="shared" si="1"/>
        <v>6.026946949394559</v>
      </c>
      <c r="L19" s="187">
        <f t="shared" si="1"/>
        <v>6.352959899030127</v>
      </c>
      <c r="M19" s="707"/>
      <c r="N19" s="848" t="s">
        <v>339</v>
      </c>
      <c r="O19" s="848"/>
      <c r="P19" s="708">
        <v>0.3</v>
      </c>
      <c r="Q19" s="169">
        <f>Q20-Q18</f>
        <v>0.75</v>
      </c>
      <c r="R19" s="591">
        <f>P19*Q19</f>
        <v>0.22499999999999998</v>
      </c>
      <c r="S19" s="3"/>
      <c r="T19" s="5"/>
      <c r="U19" s="5"/>
    </row>
    <row r="20" spans="2:21" ht="12.75">
      <c r="B20" s="709" t="s">
        <v>143</v>
      </c>
      <c r="C20" s="849" t="s">
        <v>20</v>
      </c>
      <c r="D20" s="850"/>
      <c r="E20" s="850"/>
      <c r="F20" s="850"/>
      <c r="G20" s="850"/>
      <c r="H20" s="850"/>
      <c r="I20" s="850"/>
      <c r="J20" s="850"/>
      <c r="K20" s="850"/>
      <c r="L20" s="851"/>
      <c r="M20" s="710"/>
      <c r="N20" s="13"/>
      <c r="O20" s="693" t="s">
        <v>340</v>
      </c>
      <c r="P20" s="708">
        <f>R20/Q20</f>
        <v>0.375</v>
      </c>
      <c r="Q20" s="591">
        <v>1</v>
      </c>
      <c r="R20" s="591">
        <f>SUM(R18:R19)</f>
        <v>0.375</v>
      </c>
      <c r="S20" s="711"/>
      <c r="T20" s="5"/>
      <c r="U20" s="5"/>
    </row>
    <row r="21" spans="2:21" ht="15">
      <c r="B21" s="712" t="s">
        <v>341</v>
      </c>
      <c r="C21" s="852"/>
      <c r="D21" s="853"/>
      <c r="E21" s="853"/>
      <c r="F21" s="853"/>
      <c r="G21" s="853"/>
      <c r="H21" s="853"/>
      <c r="I21" s="853"/>
      <c r="J21" s="853"/>
      <c r="K21" s="853"/>
      <c r="L21" s="854"/>
      <c r="M21" s="710"/>
      <c r="O21" s="713" t="s">
        <v>342</v>
      </c>
      <c r="P21" s="714">
        <v>0.4</v>
      </c>
      <c r="Q21" s="31"/>
      <c r="R21" s="300"/>
      <c r="S21" s="715"/>
      <c r="T21" s="5"/>
      <c r="U21" s="5"/>
    </row>
    <row r="22" spans="2:21" ht="12.75">
      <c r="B22" s="27" t="s">
        <v>343</v>
      </c>
      <c r="C22" s="857">
        <v>1</v>
      </c>
      <c r="D22" s="855">
        <v>2</v>
      </c>
      <c r="E22" s="855">
        <v>3</v>
      </c>
      <c r="F22" s="855">
        <v>4</v>
      </c>
      <c r="G22" s="855">
        <v>5</v>
      </c>
      <c r="H22" s="855">
        <v>6</v>
      </c>
      <c r="I22" s="855">
        <v>7</v>
      </c>
      <c r="J22" s="855">
        <v>8</v>
      </c>
      <c r="K22" s="855">
        <v>9</v>
      </c>
      <c r="L22" s="893">
        <v>10</v>
      </c>
      <c r="M22" s="859"/>
      <c r="O22" s="11" t="s">
        <v>22</v>
      </c>
      <c r="P22" s="11" t="s">
        <v>21</v>
      </c>
      <c r="Q22" s="716"/>
      <c r="R22" s="167"/>
      <c r="S22" s="34"/>
      <c r="T22" s="716"/>
      <c r="U22" s="7"/>
    </row>
    <row r="23" spans="2:21" ht="12.75">
      <c r="B23" s="25" t="s">
        <v>1</v>
      </c>
      <c r="C23" s="858"/>
      <c r="D23" s="856"/>
      <c r="E23" s="856"/>
      <c r="F23" s="856"/>
      <c r="G23" s="856"/>
      <c r="H23" s="856"/>
      <c r="I23" s="856"/>
      <c r="J23" s="856"/>
      <c r="K23" s="856"/>
      <c r="L23" s="894"/>
      <c r="M23" s="859"/>
      <c r="O23" s="717">
        <f>($C$14*$E$16)/$C$17</f>
        <v>19.28623023806259</v>
      </c>
      <c r="P23" s="30"/>
      <c r="Q23" s="26"/>
      <c r="R23" s="167"/>
      <c r="S23" s="179"/>
      <c r="T23" s="716"/>
      <c r="U23" s="3"/>
    </row>
    <row r="24" spans="2:21" ht="18" customHeight="1">
      <c r="B24" s="718">
        <v>50</v>
      </c>
      <c r="C24" s="71">
        <f aca="true" t="shared" si="2" ref="C24:C33">(($O$23/P24)/10)*SQRT($C$22)</f>
        <v>2752.9733695989767</v>
      </c>
      <c r="D24" s="65">
        <f aca="true" t="shared" si="3" ref="D24:D33">(($O$23/P24)/10)*SQRT($D$22)</f>
        <v>3893.292276138832</v>
      </c>
      <c r="E24" s="65">
        <f aca="true" t="shared" si="4" ref="E24:E33">(($O$23/P24)/10)*SQRT($E$22)</f>
        <v>4768.2897480295205</v>
      </c>
      <c r="F24" s="65">
        <f aca="true" t="shared" si="5" ref="F24:F33">(($O$23/P24)/10)*SQRT($F$22)</f>
        <v>5505.946739197953</v>
      </c>
      <c r="G24" s="65">
        <f aca="true" t="shared" si="6" ref="G24:G33">(($O$23/P24)/10)*SQRT($G$22)</f>
        <v>6155.835594669965</v>
      </c>
      <c r="H24" s="65">
        <f aca="true" t="shared" si="7" ref="H24:H33">(($O$23/P24)/10)*SQRT($H$22)</f>
        <v>6743.380030987936</v>
      </c>
      <c r="I24" s="65">
        <f aca="true" t="shared" si="8" ref="I24:I33">(($O$23/P24)/10)*SQRT($I$22)</f>
        <v>7283.682901942397</v>
      </c>
      <c r="J24" s="65">
        <f aca="true" t="shared" si="9" ref="J24:J33">(($O$23/P24)/10)*SQRT($J$22)</f>
        <v>7786.584552277664</v>
      </c>
      <c r="K24" s="65">
        <f aca="true" t="shared" si="10" ref="K24:K33">(($O$23/P24)/10)*SQRT($K$22)</f>
        <v>8258.92010879693</v>
      </c>
      <c r="L24" s="66">
        <f aca="true" t="shared" si="11" ref="L24:L33">(($O$23/P24)/10)*SQRT($L$22)</f>
        <v>8705.666185721311</v>
      </c>
      <c r="M24" s="719"/>
      <c r="O24" s="3"/>
      <c r="P24" s="30">
        <f aca="true" t="shared" si="12" ref="P24:P33">((0.278*$J$17*POWER(10,-6)*(($P$21*T24))))</f>
        <v>0.00070056</v>
      </c>
      <c r="Q24" s="78">
        <f aca="true" t="shared" si="13" ref="Q24:Q30">($O$23/P24)/10</f>
        <v>2752.9733695989767</v>
      </c>
      <c r="R24" s="3"/>
      <c r="S24" s="10"/>
      <c r="T24" s="52">
        <f aca="true" t="shared" si="14" ref="T24:T34">B24</f>
        <v>50</v>
      </c>
      <c r="U24" s="591"/>
    </row>
    <row r="25" spans="2:21" ht="18" customHeight="1">
      <c r="B25" s="720">
        <v>100</v>
      </c>
      <c r="C25" s="72">
        <f t="shared" si="2"/>
        <v>1376.4866847994883</v>
      </c>
      <c r="D25" s="67">
        <f t="shared" si="3"/>
        <v>1946.646138069416</v>
      </c>
      <c r="E25" s="67">
        <f t="shared" si="4"/>
        <v>2384.1448740147603</v>
      </c>
      <c r="F25" s="67">
        <f t="shared" si="5"/>
        <v>2752.9733695989767</v>
      </c>
      <c r="G25" s="67">
        <f t="shared" si="6"/>
        <v>3077.9177973349824</v>
      </c>
      <c r="H25" s="67">
        <f t="shared" si="7"/>
        <v>3371.690015493968</v>
      </c>
      <c r="I25" s="67">
        <f t="shared" si="8"/>
        <v>3641.8414509711984</v>
      </c>
      <c r="J25" s="67">
        <f t="shared" si="9"/>
        <v>3893.292276138832</v>
      </c>
      <c r="K25" s="67">
        <f t="shared" si="10"/>
        <v>4129.460054398465</v>
      </c>
      <c r="L25" s="68">
        <f t="shared" si="11"/>
        <v>4352.833092860656</v>
      </c>
      <c r="M25" s="719"/>
      <c r="O25" s="3"/>
      <c r="P25" s="30">
        <f t="shared" si="12"/>
        <v>0.00140112</v>
      </c>
      <c r="Q25" s="78">
        <f t="shared" si="13"/>
        <v>1376.4866847994883</v>
      </c>
      <c r="R25" s="3"/>
      <c r="S25" s="10"/>
      <c r="T25" s="52">
        <f t="shared" si="14"/>
        <v>100</v>
      </c>
      <c r="U25" s="591"/>
    </row>
    <row r="26" spans="2:21" ht="18" customHeight="1">
      <c r="B26" s="720">
        <v>150</v>
      </c>
      <c r="C26" s="72">
        <f t="shared" si="2"/>
        <v>917.6577898663254</v>
      </c>
      <c r="D26" s="67">
        <f t="shared" si="3"/>
        <v>1297.7640920462773</v>
      </c>
      <c r="E26" s="67">
        <f t="shared" si="4"/>
        <v>1589.4299160098399</v>
      </c>
      <c r="F26" s="67">
        <f t="shared" si="5"/>
        <v>1835.3155797326508</v>
      </c>
      <c r="G26" s="67">
        <f t="shared" si="6"/>
        <v>2051.9451982233213</v>
      </c>
      <c r="H26" s="67">
        <f t="shared" si="7"/>
        <v>2247.793343662645</v>
      </c>
      <c r="I26" s="67">
        <f t="shared" si="8"/>
        <v>2427.894300647465</v>
      </c>
      <c r="J26" s="67">
        <f t="shared" si="9"/>
        <v>2595.5281840925545</v>
      </c>
      <c r="K26" s="67">
        <f t="shared" si="10"/>
        <v>2752.973369598976</v>
      </c>
      <c r="L26" s="68">
        <f t="shared" si="11"/>
        <v>2901.88872857377</v>
      </c>
      <c r="M26" s="719"/>
      <c r="O26" s="3"/>
      <c r="P26" s="30">
        <f t="shared" si="12"/>
        <v>0.0021016800000000003</v>
      </c>
      <c r="Q26" s="78">
        <f t="shared" si="13"/>
        <v>917.6577898663254</v>
      </c>
      <c r="R26" s="3"/>
      <c r="S26" s="10"/>
      <c r="T26" s="52">
        <f t="shared" si="14"/>
        <v>150</v>
      </c>
      <c r="U26" s="591"/>
    </row>
    <row r="27" spans="2:21" ht="18" customHeight="1">
      <c r="B27" s="720">
        <v>200</v>
      </c>
      <c r="C27" s="72">
        <f t="shared" si="2"/>
        <v>688.2433423997442</v>
      </c>
      <c r="D27" s="67">
        <f t="shared" si="3"/>
        <v>973.323069034708</v>
      </c>
      <c r="E27" s="67">
        <f t="shared" si="4"/>
        <v>1192.0724370073801</v>
      </c>
      <c r="F27" s="67">
        <f t="shared" si="5"/>
        <v>1376.4866847994883</v>
      </c>
      <c r="G27" s="67">
        <f t="shared" si="6"/>
        <v>1538.9588986674912</v>
      </c>
      <c r="H27" s="67">
        <f t="shared" si="7"/>
        <v>1685.845007746984</v>
      </c>
      <c r="I27" s="67">
        <f t="shared" si="8"/>
        <v>1820.9207254855992</v>
      </c>
      <c r="J27" s="67">
        <f t="shared" si="9"/>
        <v>1946.646138069416</v>
      </c>
      <c r="K27" s="67">
        <f t="shared" si="10"/>
        <v>2064.7300271992326</v>
      </c>
      <c r="L27" s="68">
        <f t="shared" si="11"/>
        <v>2176.416546430328</v>
      </c>
      <c r="M27" s="719"/>
      <c r="O27" s="3"/>
      <c r="P27" s="30">
        <f t="shared" si="12"/>
        <v>0.00280224</v>
      </c>
      <c r="Q27" s="78">
        <f t="shared" si="13"/>
        <v>688.2433423997442</v>
      </c>
      <c r="R27" s="3"/>
      <c r="S27" s="10"/>
      <c r="T27" s="52">
        <f t="shared" si="14"/>
        <v>200</v>
      </c>
      <c r="U27" s="591"/>
    </row>
    <row r="28" spans="2:21" ht="18" customHeight="1">
      <c r="B28" s="720">
        <v>250</v>
      </c>
      <c r="C28" s="72">
        <f t="shared" si="2"/>
        <v>550.5946739197952</v>
      </c>
      <c r="D28" s="67">
        <f t="shared" si="3"/>
        <v>778.6584552277664</v>
      </c>
      <c r="E28" s="67">
        <f t="shared" si="4"/>
        <v>953.6579496059039</v>
      </c>
      <c r="F28" s="67">
        <f t="shared" si="5"/>
        <v>1101.1893478395905</v>
      </c>
      <c r="G28" s="67">
        <f t="shared" si="6"/>
        <v>1231.1671189339927</v>
      </c>
      <c r="H28" s="67">
        <f t="shared" si="7"/>
        <v>1348.676006197587</v>
      </c>
      <c r="I28" s="67">
        <f t="shared" si="8"/>
        <v>1456.736580388479</v>
      </c>
      <c r="J28" s="67">
        <f t="shared" si="9"/>
        <v>1557.3169104555327</v>
      </c>
      <c r="K28" s="67">
        <f t="shared" si="10"/>
        <v>1651.7840217593857</v>
      </c>
      <c r="L28" s="68">
        <f t="shared" si="11"/>
        <v>1741.133237144262</v>
      </c>
      <c r="M28" s="719"/>
      <c r="O28" s="3"/>
      <c r="P28" s="30">
        <f t="shared" si="12"/>
        <v>0.0035028000000000004</v>
      </c>
      <c r="Q28" s="78">
        <f t="shared" si="13"/>
        <v>550.5946739197952</v>
      </c>
      <c r="R28" s="3"/>
      <c r="S28" s="10"/>
      <c r="T28" s="52">
        <f t="shared" si="14"/>
        <v>250</v>
      </c>
      <c r="U28" s="591"/>
    </row>
    <row r="29" spans="2:21" ht="18" customHeight="1">
      <c r="B29" s="720">
        <v>300</v>
      </c>
      <c r="C29" s="72">
        <f t="shared" si="2"/>
        <v>458.8288949331627</v>
      </c>
      <c r="D29" s="67">
        <f t="shared" si="3"/>
        <v>648.8820460231386</v>
      </c>
      <c r="E29" s="67">
        <f t="shared" si="4"/>
        <v>794.7149580049199</v>
      </c>
      <c r="F29" s="67">
        <f t="shared" si="5"/>
        <v>917.6577898663254</v>
      </c>
      <c r="G29" s="67">
        <f t="shared" si="6"/>
        <v>1025.9725991116607</v>
      </c>
      <c r="H29" s="67">
        <f t="shared" si="7"/>
        <v>1123.8966718313225</v>
      </c>
      <c r="I29" s="67">
        <f t="shared" si="8"/>
        <v>1213.9471503237326</v>
      </c>
      <c r="J29" s="67">
        <f t="shared" si="9"/>
        <v>1297.7640920462773</v>
      </c>
      <c r="K29" s="67">
        <f t="shared" si="10"/>
        <v>1376.486684799488</v>
      </c>
      <c r="L29" s="68">
        <f t="shared" si="11"/>
        <v>1450.944364286885</v>
      </c>
      <c r="M29" s="719"/>
      <c r="O29" s="3"/>
      <c r="P29" s="30">
        <f t="shared" si="12"/>
        <v>0.004203360000000001</v>
      </c>
      <c r="Q29" s="78">
        <f t="shared" si="13"/>
        <v>458.8288949331627</v>
      </c>
      <c r="R29" s="3"/>
      <c r="S29" s="10"/>
      <c r="T29" s="52">
        <f t="shared" si="14"/>
        <v>300</v>
      </c>
      <c r="U29" s="591"/>
    </row>
    <row r="30" spans="2:21" ht="18" customHeight="1">
      <c r="B30" s="720">
        <v>400</v>
      </c>
      <c r="C30" s="72">
        <f t="shared" si="2"/>
        <v>344.1216711998721</v>
      </c>
      <c r="D30" s="67">
        <f t="shared" si="3"/>
        <v>486.661534517354</v>
      </c>
      <c r="E30" s="67">
        <f t="shared" si="4"/>
        <v>596.0362185036901</v>
      </c>
      <c r="F30" s="67">
        <f t="shared" si="5"/>
        <v>688.2433423997442</v>
      </c>
      <c r="G30" s="67">
        <f t="shared" si="6"/>
        <v>769.4794493337456</v>
      </c>
      <c r="H30" s="67">
        <f t="shared" si="7"/>
        <v>842.922503873492</v>
      </c>
      <c r="I30" s="67">
        <f t="shared" si="8"/>
        <v>910.4603627427996</v>
      </c>
      <c r="J30" s="67">
        <f t="shared" si="9"/>
        <v>973.323069034708</v>
      </c>
      <c r="K30" s="67">
        <f t="shared" si="10"/>
        <v>1032.3650135996163</v>
      </c>
      <c r="L30" s="68">
        <f t="shared" si="11"/>
        <v>1088.208273215164</v>
      </c>
      <c r="M30" s="719"/>
      <c r="O30" s="3"/>
      <c r="P30" s="30">
        <f t="shared" si="12"/>
        <v>0.00560448</v>
      </c>
      <c r="Q30" s="78">
        <f t="shared" si="13"/>
        <v>344.1216711998721</v>
      </c>
      <c r="R30" s="3"/>
      <c r="S30" s="10"/>
      <c r="T30" s="52">
        <f t="shared" si="14"/>
        <v>400</v>
      </c>
      <c r="U30" s="591"/>
    </row>
    <row r="31" spans="2:21" ht="18" customHeight="1">
      <c r="B31" s="720">
        <v>500</v>
      </c>
      <c r="C31" s="72">
        <f t="shared" si="2"/>
        <v>275.2973369598976</v>
      </c>
      <c r="D31" s="67">
        <f t="shared" si="3"/>
        <v>389.3292276138832</v>
      </c>
      <c r="E31" s="67">
        <f t="shared" si="4"/>
        <v>476.82897480295196</v>
      </c>
      <c r="F31" s="67">
        <f t="shared" si="5"/>
        <v>550.5946739197952</v>
      </c>
      <c r="G31" s="67">
        <f t="shared" si="6"/>
        <v>615.5835594669963</v>
      </c>
      <c r="H31" s="67">
        <f t="shared" si="7"/>
        <v>674.3380030987935</v>
      </c>
      <c r="I31" s="67">
        <f t="shared" si="8"/>
        <v>728.3682901942395</v>
      </c>
      <c r="J31" s="67">
        <f t="shared" si="9"/>
        <v>778.6584552277664</v>
      </c>
      <c r="K31" s="67">
        <f t="shared" si="10"/>
        <v>825.8920108796929</v>
      </c>
      <c r="L31" s="68">
        <f t="shared" si="11"/>
        <v>870.566618572131</v>
      </c>
      <c r="M31" s="719"/>
      <c r="O31" s="3"/>
      <c r="P31" s="30">
        <f t="shared" si="12"/>
        <v>0.007005600000000001</v>
      </c>
      <c r="Q31" s="78"/>
      <c r="R31" s="3"/>
      <c r="S31" s="10"/>
      <c r="T31" s="52">
        <f t="shared" si="14"/>
        <v>500</v>
      </c>
      <c r="U31" s="591"/>
    </row>
    <row r="32" spans="2:21" ht="18" customHeight="1">
      <c r="B32" s="720">
        <v>750</v>
      </c>
      <c r="C32" s="72">
        <f t="shared" si="2"/>
        <v>183.53155797326508</v>
      </c>
      <c r="D32" s="67">
        <f t="shared" si="3"/>
        <v>259.55281840925545</v>
      </c>
      <c r="E32" s="67">
        <f t="shared" si="4"/>
        <v>317.885983201968</v>
      </c>
      <c r="F32" s="67">
        <f t="shared" si="5"/>
        <v>367.06311594653016</v>
      </c>
      <c r="G32" s="67">
        <f t="shared" si="6"/>
        <v>410.38903964466425</v>
      </c>
      <c r="H32" s="67">
        <f t="shared" si="7"/>
        <v>449.558668732529</v>
      </c>
      <c r="I32" s="67">
        <f t="shared" si="8"/>
        <v>485.578860129493</v>
      </c>
      <c r="J32" s="67">
        <f t="shared" si="9"/>
        <v>519.1056368185109</v>
      </c>
      <c r="K32" s="67">
        <f t="shared" si="10"/>
        <v>550.5946739197952</v>
      </c>
      <c r="L32" s="68">
        <f t="shared" si="11"/>
        <v>580.377745714754</v>
      </c>
      <c r="M32" s="719"/>
      <c r="O32" s="3"/>
      <c r="P32" s="30">
        <f t="shared" si="12"/>
        <v>0.010508400000000001</v>
      </c>
      <c r="Q32" s="78"/>
      <c r="R32" s="3"/>
      <c r="S32" s="10"/>
      <c r="T32" s="52">
        <f t="shared" si="14"/>
        <v>750</v>
      </c>
      <c r="U32" s="591"/>
    </row>
    <row r="33" spans="1:21" ht="18" customHeight="1">
      <c r="A33" s="721"/>
      <c r="B33" s="722">
        <v>1000</v>
      </c>
      <c r="C33" s="72">
        <f t="shared" si="2"/>
        <v>137.6486684799488</v>
      </c>
      <c r="D33" s="67">
        <f t="shared" si="3"/>
        <v>194.6646138069416</v>
      </c>
      <c r="E33" s="67">
        <f t="shared" si="4"/>
        <v>238.41448740147598</v>
      </c>
      <c r="F33" s="67">
        <f t="shared" si="5"/>
        <v>275.2973369598976</v>
      </c>
      <c r="G33" s="67">
        <f t="shared" si="6"/>
        <v>307.7917797334982</v>
      </c>
      <c r="H33" s="67">
        <f t="shared" si="7"/>
        <v>337.16900154939674</v>
      </c>
      <c r="I33" s="67">
        <f t="shared" si="8"/>
        <v>364.18414509711977</v>
      </c>
      <c r="J33" s="67">
        <f t="shared" si="9"/>
        <v>389.3292276138832</v>
      </c>
      <c r="K33" s="67">
        <f t="shared" si="10"/>
        <v>412.94600543984643</v>
      </c>
      <c r="L33" s="68">
        <f t="shared" si="11"/>
        <v>435.2833092860655</v>
      </c>
      <c r="M33" s="719"/>
      <c r="N33" s="721"/>
      <c r="O33" s="723"/>
      <c r="P33" s="30">
        <f t="shared" si="12"/>
        <v>0.014011200000000001</v>
      </c>
      <c r="Q33" s="78">
        <f>($O$23/P33)/10</f>
        <v>137.6486684799488</v>
      </c>
      <c r="R33" s="723"/>
      <c r="S33" s="724"/>
      <c r="T33" s="52">
        <f t="shared" si="14"/>
        <v>1000</v>
      </c>
      <c r="U33" s="186"/>
    </row>
    <row r="34" spans="2:20" ht="18" customHeight="1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1"/>
      <c r="Q34" s="77"/>
      <c r="T34" s="52">
        <f t="shared" si="14"/>
        <v>0</v>
      </c>
    </row>
    <row r="35" spans="2:12" ht="18" customHeight="1">
      <c r="B35" s="82"/>
      <c r="C35" s="17" t="s">
        <v>31</v>
      </c>
      <c r="D35" s="890">
        <f>O40</f>
        <v>55059.46739197952</v>
      </c>
      <c r="E35" s="890"/>
      <c r="F35" s="7" t="s">
        <v>33</v>
      </c>
      <c r="G35" s="183" t="s">
        <v>344</v>
      </c>
      <c r="H35" s="725">
        <f>P21</f>
        <v>0.4</v>
      </c>
      <c r="I35" s="293" t="s">
        <v>356</v>
      </c>
      <c r="J35" s="150"/>
      <c r="K35" s="150"/>
      <c r="L35" s="726"/>
    </row>
    <row r="36" spans="2:12" ht="18" customHeight="1">
      <c r="B36" s="82"/>
      <c r="C36" s="17"/>
      <c r="D36" s="694"/>
      <c r="E36" s="694"/>
      <c r="F36" s="7"/>
      <c r="G36" s="183"/>
      <c r="H36" s="725"/>
      <c r="I36" s="293"/>
      <c r="J36" s="150"/>
      <c r="K36" s="150"/>
      <c r="L36" s="726"/>
    </row>
    <row r="37" spans="2:12" ht="18" customHeight="1">
      <c r="B37" s="82"/>
      <c r="C37" s="17"/>
      <c r="D37" s="694"/>
      <c r="E37" s="694"/>
      <c r="F37" s="7"/>
      <c r="G37" s="183"/>
      <c r="H37" s="725"/>
      <c r="I37" s="293"/>
      <c r="J37" s="150"/>
      <c r="K37" s="150"/>
      <c r="L37" s="726"/>
    </row>
    <row r="38" spans="2:19" ht="15" customHeight="1">
      <c r="B38" s="82"/>
      <c r="C38" s="17" t="s">
        <v>31</v>
      </c>
      <c r="D38" s="8" t="s">
        <v>25</v>
      </c>
      <c r="E38" s="8"/>
      <c r="F38" s="8"/>
      <c r="G38" s="8"/>
      <c r="H38" s="8"/>
      <c r="I38" s="8"/>
      <c r="J38" s="8"/>
      <c r="K38" s="8"/>
      <c r="L38" s="346"/>
      <c r="N38" s="5"/>
      <c r="O38" s="97">
        <f>O23</f>
        <v>19.28623023806259</v>
      </c>
      <c r="R38" s="1"/>
      <c r="S38" s="1"/>
    </row>
    <row r="39" spans="2:19" ht="15" customHeight="1">
      <c r="B39" s="82"/>
      <c r="C39" s="17" t="s">
        <v>32</v>
      </c>
      <c r="D39" s="8" t="s">
        <v>345</v>
      </c>
      <c r="E39" s="8"/>
      <c r="F39" s="8"/>
      <c r="G39" s="8"/>
      <c r="H39" s="8"/>
      <c r="I39" s="8"/>
      <c r="J39" s="8"/>
      <c r="K39" s="8"/>
      <c r="L39" s="346"/>
      <c r="N39" s="5"/>
      <c r="O39" s="727">
        <f>((0.278*$J$17*POWER(10,-6)))</f>
        <v>3.5028000000000004E-05</v>
      </c>
      <c r="R39" s="1"/>
      <c r="S39" s="1"/>
    </row>
    <row r="40" spans="2:19" ht="15" customHeight="1">
      <c r="B40" s="82"/>
      <c r="C40" s="17" t="s">
        <v>357</v>
      </c>
      <c r="D40" s="8" t="s">
        <v>346</v>
      </c>
      <c r="E40" s="8"/>
      <c r="F40" s="8"/>
      <c r="G40" s="8"/>
      <c r="H40" s="8"/>
      <c r="I40" s="8"/>
      <c r="J40" s="8"/>
      <c r="K40" s="130" t="s">
        <v>34</v>
      </c>
      <c r="L40" s="346"/>
      <c r="N40" s="5"/>
      <c r="O40" s="102">
        <f>(O38/O39)/10</f>
        <v>55059.46739197952</v>
      </c>
      <c r="R40" s="1"/>
      <c r="S40" s="1"/>
    </row>
    <row r="41" spans="2:19" ht="15" customHeight="1">
      <c r="B41" s="82"/>
      <c r="C41" s="17" t="s">
        <v>358</v>
      </c>
      <c r="D41" s="860" t="s">
        <v>347</v>
      </c>
      <c r="E41" s="860"/>
      <c r="F41" s="860"/>
      <c r="G41" s="860"/>
      <c r="H41" s="860"/>
      <c r="I41" s="860"/>
      <c r="J41" s="860"/>
      <c r="K41" s="591">
        <f>P21</f>
        <v>0.4</v>
      </c>
      <c r="L41" s="83"/>
      <c r="N41" s="5"/>
      <c r="O41" s="99"/>
      <c r="R41" s="1"/>
      <c r="S41" s="1"/>
    </row>
    <row r="42" spans="2:19" ht="11.25" customHeight="1">
      <c r="B42" s="82"/>
      <c r="C42" s="5"/>
      <c r="D42" s="5"/>
      <c r="E42" s="5"/>
      <c r="F42" s="5"/>
      <c r="G42" s="5"/>
      <c r="H42" s="5"/>
      <c r="I42" s="5"/>
      <c r="J42" s="5"/>
      <c r="K42" s="5"/>
      <c r="L42" s="83"/>
      <c r="N42" s="5"/>
      <c r="R42" s="1"/>
      <c r="S42" s="1"/>
    </row>
    <row r="43" spans="2:12" ht="23.25" customHeight="1">
      <c r="B43" s="84"/>
      <c r="C43" s="35"/>
      <c r="D43" s="35"/>
      <c r="E43" s="35"/>
      <c r="F43" s="35"/>
      <c r="G43" s="35"/>
      <c r="H43" s="35"/>
      <c r="I43" s="35"/>
      <c r="J43" s="35"/>
      <c r="K43" s="35"/>
      <c r="L43" s="85"/>
    </row>
  </sheetData>
  <sheetProtection/>
  <mergeCells count="34">
    <mergeCell ref="F3:L3"/>
    <mergeCell ref="C12:L12"/>
    <mergeCell ref="E22:E23"/>
    <mergeCell ref="F22:F23"/>
    <mergeCell ref="J22:J23"/>
    <mergeCell ref="L22:L23"/>
    <mergeCell ref="D41:J41"/>
    <mergeCell ref="F2:L2"/>
    <mergeCell ref="F4:L4"/>
    <mergeCell ref="F5:L5"/>
    <mergeCell ref="B11:L11"/>
    <mergeCell ref="B7:L7"/>
    <mergeCell ref="J14:L14"/>
    <mergeCell ref="B2:E5"/>
    <mergeCell ref="B10:L10"/>
    <mergeCell ref="D35:E35"/>
    <mergeCell ref="N18:O18"/>
    <mergeCell ref="C20:L21"/>
    <mergeCell ref="K22:K23"/>
    <mergeCell ref="H22:H23"/>
    <mergeCell ref="I22:I23"/>
    <mergeCell ref="C22:C23"/>
    <mergeCell ref="D22:D23"/>
    <mergeCell ref="N19:O19"/>
    <mergeCell ref="M22:M23"/>
    <mergeCell ref="G22:G23"/>
    <mergeCell ref="X5:Z5"/>
    <mergeCell ref="R9:X9"/>
    <mergeCell ref="S10:X10"/>
    <mergeCell ref="R13:R14"/>
    <mergeCell ref="U13:V13"/>
    <mergeCell ref="X13:Z13"/>
    <mergeCell ref="S14:U14"/>
    <mergeCell ref="X14:Z14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4"/>
  <legacyDrawing r:id="rId3"/>
  <oleObjects>
    <oleObject progId="Equation.3" shapeId="136793" r:id="rId1"/>
    <oleObject progId="Equation.3" shapeId="136794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B1:W44"/>
  <sheetViews>
    <sheetView showGridLines="0" zoomScalePageLayoutView="0" workbookViewId="0" topLeftCell="A7">
      <selection activeCell="B1" sqref="B1:P4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7109375" style="2" customWidth="1"/>
    <col min="16" max="16" width="2.8515625" style="380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R2" s="129"/>
      <c r="S2" s="129"/>
    </row>
    <row r="3" spans="3:15" ht="19.5" customHeight="1">
      <c r="C3" s="881"/>
      <c r="D3" s="882"/>
      <c r="E3" s="882"/>
      <c r="F3" s="883"/>
      <c r="G3" s="864" t="s">
        <v>366</v>
      </c>
      <c r="H3" s="865"/>
      <c r="I3" s="865"/>
      <c r="J3" s="865"/>
      <c r="K3" s="865"/>
      <c r="L3" s="865"/>
      <c r="M3" s="865"/>
      <c r="N3" s="865"/>
      <c r="O3" s="866"/>
    </row>
    <row r="4" spans="3:21" ht="19.5" customHeight="1">
      <c r="C4" s="881"/>
      <c r="D4" s="882"/>
      <c r="E4" s="882"/>
      <c r="F4" s="883"/>
      <c r="G4" s="864" t="s">
        <v>367</v>
      </c>
      <c r="H4" s="865"/>
      <c r="I4" s="865"/>
      <c r="J4" s="865"/>
      <c r="K4" s="865"/>
      <c r="L4" s="865"/>
      <c r="M4" s="865"/>
      <c r="N4" s="865"/>
      <c r="O4" s="866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 t="e">
        <f>'[4]BASE '!G5</f>
        <v>#REF!</v>
      </c>
      <c r="H5" s="925"/>
      <c r="I5" s="925"/>
      <c r="J5" s="925"/>
      <c r="K5" s="925"/>
      <c r="L5" s="925"/>
      <c r="M5" s="925"/>
      <c r="N5" s="925"/>
      <c r="O5" s="926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Q6" s="300"/>
      <c r="R6" s="301"/>
      <c r="S6" s="302"/>
      <c r="T6" s="300"/>
      <c r="U6" s="303"/>
    </row>
    <row r="7" spans="2:21" s="75" customFormat="1" ht="21" customHeight="1">
      <c r="B7" s="74"/>
      <c r="C7" s="827" t="s">
        <v>371</v>
      </c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9"/>
      <c r="P7" s="803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117"/>
      <c r="O8" s="90"/>
      <c r="P8" s="803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Q9" s="300"/>
      <c r="R9" s="301"/>
      <c r="S9" s="178"/>
      <c r="T9" s="300"/>
      <c r="U9" s="303"/>
    </row>
    <row r="10" spans="3:21" ht="12.75">
      <c r="C10" s="82"/>
      <c r="D10" s="888" t="s">
        <v>398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Q12" s="179"/>
      <c r="R12" s="30"/>
      <c r="S12" s="26"/>
      <c r="T12" s="179"/>
      <c r="U12" s="10"/>
    </row>
    <row r="13" spans="3:15" ht="1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v>0.154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">
        <v>370</v>
      </c>
      <c r="M14" s="922"/>
      <c r="N14" s="922"/>
      <c r="O14" s="83"/>
    </row>
    <row r="15" spans="3:15" ht="15" customHeight="1" thickBot="1">
      <c r="C15" s="87" t="s">
        <v>5</v>
      </c>
      <c r="D15" s="125">
        <v>1.064</v>
      </c>
      <c r="E15" s="5" t="s">
        <v>7</v>
      </c>
      <c r="F15" s="8"/>
      <c r="G15" s="8"/>
      <c r="H15" s="8"/>
      <c r="I15" s="8"/>
      <c r="J15" s="6" t="s">
        <v>18</v>
      </c>
      <c r="K15" s="215">
        <f>'[4]BASE '!K15</f>
        <v>10</v>
      </c>
      <c r="L15" s="5" t="s">
        <v>12</v>
      </c>
      <c r="M15" s="5"/>
      <c r="N15" s="5"/>
      <c r="O15" s="83"/>
    </row>
    <row r="16" spans="3:23" ht="15" customHeight="1">
      <c r="C16" s="87" t="s">
        <v>6</v>
      </c>
      <c r="D16" s="91">
        <f>D14/D15</f>
        <v>0.14473684210526314</v>
      </c>
      <c r="E16" s="8" t="s">
        <v>7</v>
      </c>
      <c r="F16" s="92">
        <f>POWER($D$16,2/3)</f>
        <v>0.27566781370920834</v>
      </c>
      <c r="G16" s="8"/>
      <c r="H16" s="8"/>
      <c r="I16" s="8"/>
      <c r="J16" s="6" t="s">
        <v>17</v>
      </c>
      <c r="K16" s="215">
        <v>10</v>
      </c>
      <c r="L16" s="5" t="s">
        <v>13</v>
      </c>
      <c r="M16" s="5"/>
      <c r="N16" s="5"/>
      <c r="O16" s="83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v>0.014</v>
      </c>
      <c r="E17" s="5"/>
      <c r="F17" s="5"/>
      <c r="G17" s="5"/>
      <c r="H17" s="5"/>
      <c r="I17" s="5"/>
      <c r="J17" s="6" t="s">
        <v>19</v>
      </c>
      <c r="K17" s="307">
        <v>126</v>
      </c>
      <c r="L17" s="8" t="s">
        <v>14</v>
      </c>
      <c r="M17" s="5"/>
      <c r="N17" s="5"/>
      <c r="O17" s="83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186">
        <f aca="true" t="shared" si="0" ref="D18:O18">D19*$D$14</f>
        <v>0.09589119858120966</v>
      </c>
      <c r="E18" s="186">
        <f t="shared" si="0"/>
        <v>0.10057153753361378</v>
      </c>
      <c r="F18" s="186">
        <f t="shared" si="0"/>
        <v>0.10504354505827183</v>
      </c>
      <c r="G18" s="186">
        <f t="shared" si="0"/>
        <v>0.10933278810559659</v>
      </c>
      <c r="H18" s="186">
        <f t="shared" si="0"/>
        <v>0.11345999626069703</v>
      </c>
      <c r="I18" s="186">
        <f t="shared" si="0"/>
        <v>0.11744225367392896</v>
      </c>
      <c r="J18" s="186">
        <f t="shared" si="0"/>
        <v>0.12129383803205167</v>
      </c>
      <c r="K18" s="186">
        <f t="shared" si="0"/>
        <v>0.1250268264856774</v>
      </c>
      <c r="L18" s="186">
        <f t="shared" si="0"/>
        <v>0.12865154308290974</v>
      </c>
      <c r="M18" s="186">
        <f t="shared" si="0"/>
        <v>0.1321768956139759</v>
      </c>
      <c r="N18" s="186">
        <f t="shared" si="0"/>
        <v>0.13561063354575842</v>
      </c>
      <c r="O18" s="187">
        <f t="shared" si="0"/>
        <v>0.13895954852839756</v>
      </c>
      <c r="P18" s="12"/>
      <c r="Q18" s="274" t="s">
        <v>148</v>
      </c>
      <c r="R18" s="497">
        <v>0.6</v>
      </c>
      <c r="S18" s="498"/>
      <c r="T18" s="499" t="s">
        <v>100</v>
      </c>
      <c r="U18" s="497">
        <v>4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0.6226701206572056</v>
      </c>
      <c r="E19" s="188">
        <f t="shared" si="1"/>
        <v>0.6530619320364531</v>
      </c>
      <c r="F19" s="188">
        <f t="shared" si="1"/>
        <v>0.6821009419368301</v>
      </c>
      <c r="G19" s="188">
        <f t="shared" si="1"/>
        <v>0.7099531695168609</v>
      </c>
      <c r="H19" s="188">
        <f t="shared" si="1"/>
        <v>0.7367532224720587</v>
      </c>
      <c r="I19" s="188">
        <f t="shared" si="1"/>
        <v>0.7626120368436946</v>
      </c>
      <c r="J19" s="188">
        <f t="shared" si="1"/>
        <v>0.7876223248834524</v>
      </c>
      <c r="K19" s="188">
        <f t="shared" si="1"/>
        <v>0.8118625096472558</v>
      </c>
      <c r="L19" s="188">
        <f t="shared" si="1"/>
        <v>0.8353996304085048</v>
      </c>
      <c r="M19" s="188">
        <f t="shared" si="1"/>
        <v>0.8582915299608823</v>
      </c>
      <c r="N19" s="188">
        <f t="shared" si="1"/>
        <v>0.8805885295179118</v>
      </c>
      <c r="O19" s="189">
        <f t="shared" si="1"/>
        <v>0.9023347307038803</v>
      </c>
      <c r="P19" s="804">
        <v>0.4</v>
      </c>
      <c r="Q19" s="274" t="s">
        <v>149</v>
      </c>
      <c r="R19" s="497">
        <v>0.7</v>
      </c>
      <c r="S19" s="498"/>
      <c r="T19" s="499" t="s">
        <v>43</v>
      </c>
      <c r="U19" s="500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702"/>
      <c r="Q20" s="274" t="s">
        <v>150</v>
      </c>
      <c r="R20" s="497">
        <v>0.3</v>
      </c>
      <c r="S20" s="498"/>
      <c r="T20" s="499" t="s">
        <v>44</v>
      </c>
      <c r="U20" s="497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153</v>
      </c>
      <c r="D22" s="933">
        <v>0.1</v>
      </c>
      <c r="E22" s="927">
        <v>0.11</v>
      </c>
      <c r="F22" s="927">
        <v>0.12</v>
      </c>
      <c r="G22" s="927">
        <v>0.13</v>
      </c>
      <c r="H22" s="927">
        <v>0.14</v>
      </c>
      <c r="I22" s="927">
        <v>0.15</v>
      </c>
      <c r="J22" s="927">
        <v>0.16</v>
      </c>
      <c r="K22" s="927">
        <v>0.17</v>
      </c>
      <c r="L22" s="927">
        <v>0.18</v>
      </c>
      <c r="M22" s="927">
        <v>0.19</v>
      </c>
      <c r="N22" s="927">
        <v>0.2</v>
      </c>
      <c r="O22" s="930">
        <v>0.21</v>
      </c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Q23" s="49">
        <f>($D$14*$F$16)/$D$17</f>
        <v>3.0323459508012918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684.3896210261055</v>
      </c>
      <c r="E24" s="65">
        <f aca="true" t="shared" si="3" ref="E24:E33">(($Q$23/R24)/10)*SQRT($E$22)</f>
        <v>717.7938901279962</v>
      </c>
      <c r="F24" s="65">
        <f aca="true" t="shared" si="4" ref="F24:F33">(($Q$23/R24)/10)*SQRT($F$22)</f>
        <v>749.7112671168198</v>
      </c>
      <c r="G24" s="65">
        <f aca="true" t="shared" si="5" ref="G24:G33">(($Q$23/R24)/10)*SQRT($G$22)</f>
        <v>780.3242270868778</v>
      </c>
      <c r="H24" s="65">
        <f aca="true" t="shared" si="6" ref="H24:H33">(($Q$23/R24)/10)*SQRT($H$22)</f>
        <v>809.7807201431502</v>
      </c>
      <c r="I24" s="65">
        <f aca="true" t="shared" si="7" ref="I24:I33">(($Q$23/R24)/10)*SQRT($I$22)</f>
        <v>838.202678385356</v>
      </c>
      <c r="J24" s="65">
        <f aca="true" t="shared" si="8" ref="J24:J33">(($Q$23/R24)/10)*SQRT($J$22)</f>
        <v>865.6920037687828</v>
      </c>
      <c r="K24" s="65">
        <f aca="true" t="shared" si="9" ref="K24:K33">(($Q$23/R24)/10)*SQRT($K$22)</f>
        <v>892.3348926978233</v>
      </c>
      <c r="L24" s="65">
        <f aca="true" t="shared" si="10" ref="L24:L33">(($Q$23/R24)/10)*SQRT($L$22)</f>
        <v>918.2050294258147</v>
      </c>
      <c r="M24" s="65">
        <f aca="true" t="shared" si="11" ref="M24:M33">(($Q$23/R24)/10)*SQRT($M$22)</f>
        <v>943.3659901648389</v>
      </c>
      <c r="N24" s="65">
        <f aca="true" t="shared" si="12" ref="N24:N33">(($Q$23/R24)/10)*SQRT($N$22)</f>
        <v>967.8730840025011</v>
      </c>
      <c r="O24" s="66">
        <f aca="true" t="shared" si="13" ref="O24:O33">(($Q$23/R24)/10)*SQRT($O$22)</f>
        <v>991.7747839471108</v>
      </c>
      <c r="Q24" s="51"/>
      <c r="R24" s="29">
        <f aca="true" t="shared" si="14" ref="R24:R33">((0.278*$K$17*POWER(10,-6)*(($R$18*$U$18)+($R$19*W24)+($R$20*$U$20))))</f>
        <v>0.000140112</v>
      </c>
      <c r="S24" s="165">
        <f aca="true" t="shared" si="15" ref="S24:S33">($Q$23/R24)/10</f>
        <v>2164.2300094219568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582.459251937111</v>
      </c>
      <c r="E25" s="67">
        <f t="shared" si="3"/>
        <v>610.8884171302095</v>
      </c>
      <c r="F25" s="67">
        <f t="shared" si="4"/>
        <v>638.0521422270806</v>
      </c>
      <c r="G25" s="67">
        <f t="shared" si="5"/>
        <v>664.1057251803215</v>
      </c>
      <c r="H25" s="67">
        <f t="shared" si="6"/>
        <v>689.1750809728937</v>
      </c>
      <c r="I25" s="67">
        <f t="shared" si="7"/>
        <v>713.3639816045581</v>
      </c>
      <c r="J25" s="67">
        <f t="shared" si="8"/>
        <v>736.7591521436448</v>
      </c>
      <c r="K25" s="67">
        <f t="shared" si="9"/>
        <v>759.4339512321899</v>
      </c>
      <c r="L25" s="67">
        <f t="shared" si="10"/>
        <v>781.4510888730338</v>
      </c>
      <c r="M25" s="67">
        <f t="shared" si="11"/>
        <v>802.8646724807138</v>
      </c>
      <c r="N25" s="67">
        <f t="shared" si="12"/>
        <v>823.7217736191498</v>
      </c>
      <c r="O25" s="68">
        <f t="shared" si="13"/>
        <v>844.0636459124346</v>
      </c>
      <c r="Q25" s="51"/>
      <c r="R25" s="30">
        <f t="shared" si="14"/>
        <v>0.0001646316</v>
      </c>
      <c r="S25" s="78">
        <f t="shared" si="15"/>
        <v>1841.897880359112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542.0907889315686</v>
      </c>
      <c r="E26" s="67">
        <f t="shared" si="3"/>
        <v>568.5496159429672</v>
      </c>
      <c r="F26" s="67">
        <f t="shared" si="4"/>
        <v>593.8307066271839</v>
      </c>
      <c r="G26" s="67">
        <f t="shared" si="5"/>
        <v>618.0785957123784</v>
      </c>
      <c r="H26" s="67">
        <f t="shared" si="6"/>
        <v>641.4104714005149</v>
      </c>
      <c r="I26" s="67">
        <f t="shared" si="7"/>
        <v>663.9229135725591</v>
      </c>
      <c r="J26" s="67">
        <f t="shared" si="8"/>
        <v>685.6966366485407</v>
      </c>
      <c r="K26" s="67">
        <f t="shared" si="9"/>
        <v>706.7999150081766</v>
      </c>
      <c r="L26" s="67">
        <f t="shared" si="10"/>
        <v>727.2911124164867</v>
      </c>
      <c r="M26" s="67">
        <f t="shared" si="11"/>
        <v>747.2205862691792</v>
      </c>
      <c r="N26" s="67">
        <f t="shared" si="12"/>
        <v>766.6321457445551</v>
      </c>
      <c r="O26" s="68">
        <f t="shared" si="13"/>
        <v>785.564185304642</v>
      </c>
      <c r="Q26" s="51"/>
      <c r="R26" s="30">
        <f t="shared" si="14"/>
        <v>0.00017689140000000004</v>
      </c>
      <c r="S26" s="78">
        <f t="shared" si="15"/>
        <v>1714.2415916213515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506.9552748341521</v>
      </c>
      <c r="E27" s="67">
        <f t="shared" si="3"/>
        <v>531.6991778725896</v>
      </c>
      <c r="F27" s="67">
        <f t="shared" si="4"/>
        <v>555.3416793457923</v>
      </c>
      <c r="G27" s="67">
        <f t="shared" si="5"/>
        <v>578.0179459902797</v>
      </c>
      <c r="H27" s="67">
        <f t="shared" si="6"/>
        <v>599.8375704764073</v>
      </c>
      <c r="I27" s="67">
        <f t="shared" si="7"/>
        <v>620.8908728780413</v>
      </c>
      <c r="J27" s="67">
        <f t="shared" si="8"/>
        <v>641.253336125024</v>
      </c>
      <c r="K27" s="67">
        <f t="shared" si="9"/>
        <v>660.9888094057948</v>
      </c>
      <c r="L27" s="67">
        <f t="shared" si="10"/>
        <v>680.1518736487515</v>
      </c>
      <c r="M27" s="67">
        <f t="shared" si="11"/>
        <v>698.7896223443248</v>
      </c>
      <c r="N27" s="67">
        <f t="shared" si="12"/>
        <v>716.9430251870376</v>
      </c>
      <c r="O27" s="68">
        <f t="shared" si="13"/>
        <v>734.6479881089707</v>
      </c>
      <c r="Q27" s="51"/>
      <c r="R27" s="30">
        <f t="shared" si="14"/>
        <v>0.00018915120000000005</v>
      </c>
      <c r="S27" s="78">
        <f t="shared" si="15"/>
        <v>1603.13334031256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476.09712767033415</v>
      </c>
      <c r="E28" s="67">
        <f t="shared" si="3"/>
        <v>499.3348800890407</v>
      </c>
      <c r="F28" s="67">
        <f t="shared" si="4"/>
        <v>521.538272776918</v>
      </c>
      <c r="G28" s="67">
        <f t="shared" si="5"/>
        <v>542.8342449300019</v>
      </c>
      <c r="H28" s="67">
        <f t="shared" si="6"/>
        <v>563.3257183604521</v>
      </c>
      <c r="I28" s="67">
        <f t="shared" si="7"/>
        <v>583.0975153985083</v>
      </c>
      <c r="J28" s="67">
        <f t="shared" si="8"/>
        <v>602.2205243608922</v>
      </c>
      <c r="K28" s="67">
        <f t="shared" si="9"/>
        <v>620.754707963703</v>
      </c>
      <c r="L28" s="67">
        <f t="shared" si="10"/>
        <v>638.7513248179579</v>
      </c>
      <c r="M28" s="67">
        <f t="shared" si="11"/>
        <v>656.2546018538008</v>
      </c>
      <c r="N28" s="67">
        <f t="shared" si="12"/>
        <v>673.3030149582614</v>
      </c>
      <c r="O28" s="68">
        <f t="shared" si="13"/>
        <v>689.9302844849465</v>
      </c>
      <c r="Q28" s="51"/>
      <c r="R28" s="30">
        <f t="shared" si="14"/>
        <v>0.00020141100000000003</v>
      </c>
      <c r="S28" s="78">
        <f t="shared" si="15"/>
        <v>1505.5513109022304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448.7800793613806</v>
      </c>
      <c r="E29" s="67">
        <f t="shared" si="3"/>
        <v>470.6845181167188</v>
      </c>
      <c r="F29" s="67">
        <f t="shared" si="4"/>
        <v>491.6139456503736</v>
      </c>
      <c r="G29" s="67">
        <f t="shared" si="5"/>
        <v>511.688017761887</v>
      </c>
      <c r="H29" s="67">
        <f t="shared" si="6"/>
        <v>531.003750913541</v>
      </c>
      <c r="I29" s="67">
        <f t="shared" si="7"/>
        <v>549.6411005805612</v>
      </c>
      <c r="J29" s="67">
        <f t="shared" si="8"/>
        <v>567.6668877172345</v>
      </c>
      <c r="K29" s="67">
        <f t="shared" si="9"/>
        <v>585.1376345559496</v>
      </c>
      <c r="L29" s="67">
        <f t="shared" si="10"/>
        <v>602.1016586398785</v>
      </c>
      <c r="M29" s="67">
        <f t="shared" si="11"/>
        <v>618.6006492884188</v>
      </c>
      <c r="N29" s="67">
        <f t="shared" si="12"/>
        <v>634.6708747557383</v>
      </c>
      <c r="O29" s="68">
        <f t="shared" si="13"/>
        <v>650.3441206210562</v>
      </c>
      <c r="Q29" s="51"/>
      <c r="R29" s="30">
        <f t="shared" si="14"/>
        <v>0.0002136708</v>
      </c>
      <c r="S29" s="78">
        <f t="shared" si="15"/>
        <v>1419.1672192930862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402.58213001535603</v>
      </c>
      <c r="E30" s="67">
        <f t="shared" si="3"/>
        <v>422.2317000752917</v>
      </c>
      <c r="F30" s="67">
        <f t="shared" si="4"/>
        <v>441.0066277157762</v>
      </c>
      <c r="G30" s="67">
        <f t="shared" si="5"/>
        <v>459.014251227575</v>
      </c>
      <c r="H30" s="67">
        <f t="shared" si="6"/>
        <v>476.34160008420577</v>
      </c>
      <c r="I30" s="67">
        <f t="shared" si="7"/>
        <v>493.0603990502092</v>
      </c>
      <c r="J30" s="67">
        <f t="shared" si="8"/>
        <v>509.23059045222493</v>
      </c>
      <c r="K30" s="67">
        <f t="shared" si="9"/>
        <v>524.9028780575429</v>
      </c>
      <c r="L30" s="67">
        <f t="shared" si="10"/>
        <v>540.1206055445966</v>
      </c>
      <c r="M30" s="67">
        <f t="shared" si="11"/>
        <v>554.9211706851991</v>
      </c>
      <c r="N30" s="67">
        <f t="shared" si="12"/>
        <v>569.3371082367651</v>
      </c>
      <c r="O30" s="68">
        <f t="shared" si="13"/>
        <v>583.3969317335943</v>
      </c>
      <c r="Q30" s="51"/>
      <c r="R30" s="30">
        <f t="shared" si="14"/>
        <v>0.00023819040000000005</v>
      </c>
      <c r="S30" s="78">
        <f t="shared" si="15"/>
        <v>1273.0764761305622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>
        <f t="shared" si="2"/>
        <v>365.0077978805895</v>
      </c>
      <c r="E31" s="67">
        <f t="shared" si="3"/>
        <v>382.82340806826454</v>
      </c>
      <c r="F31" s="67">
        <f t="shared" si="4"/>
        <v>399.8460091289705</v>
      </c>
      <c r="G31" s="67">
        <f t="shared" si="5"/>
        <v>416.1729211130014</v>
      </c>
      <c r="H31" s="67">
        <f t="shared" si="6"/>
        <v>431.8830507430133</v>
      </c>
      <c r="I31" s="67">
        <f t="shared" si="7"/>
        <v>447.04142847218975</v>
      </c>
      <c r="J31" s="67">
        <f t="shared" si="8"/>
        <v>461.70240201001735</v>
      </c>
      <c r="K31" s="67">
        <f t="shared" si="9"/>
        <v>475.9119427721723</v>
      </c>
      <c r="L31" s="67">
        <f t="shared" si="10"/>
        <v>489.7093490271011</v>
      </c>
      <c r="M31" s="67">
        <f t="shared" si="11"/>
        <v>503.12852808791393</v>
      </c>
      <c r="N31" s="67">
        <f t="shared" si="12"/>
        <v>516.1989781346672</v>
      </c>
      <c r="O31" s="68">
        <f t="shared" si="13"/>
        <v>528.946551438459</v>
      </c>
      <c r="Q31" s="51"/>
      <c r="R31" s="30">
        <f t="shared" si="14"/>
        <v>0.00026271000000000004</v>
      </c>
      <c r="S31" s="78">
        <f t="shared" si="15"/>
        <v>1154.2560050250434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333.8485956224905</v>
      </c>
      <c r="E32" s="67">
        <f t="shared" si="3"/>
        <v>350.1433610380469</v>
      </c>
      <c r="F32" s="67">
        <f t="shared" si="4"/>
        <v>365.712813227717</v>
      </c>
      <c r="G32" s="67">
        <f t="shared" si="5"/>
        <v>380.6459644326233</v>
      </c>
      <c r="H32" s="67">
        <f t="shared" si="6"/>
        <v>395.014985435683</v>
      </c>
      <c r="I32" s="67">
        <f t="shared" si="7"/>
        <v>408.87935530992974</v>
      </c>
      <c r="J32" s="67">
        <f t="shared" si="8"/>
        <v>422.2887823262355</v>
      </c>
      <c r="K32" s="67">
        <f t="shared" si="9"/>
        <v>435.2853135111333</v>
      </c>
      <c r="L32" s="67">
        <f t="shared" si="10"/>
        <v>447.9048924028365</v>
      </c>
      <c r="M32" s="67">
        <f t="shared" si="11"/>
        <v>460.1785317877263</v>
      </c>
      <c r="N32" s="67">
        <f t="shared" si="12"/>
        <v>472.13321170853715</v>
      </c>
      <c r="O32" s="68">
        <f t="shared" si="13"/>
        <v>483.792577535176</v>
      </c>
      <c r="Q32" s="51"/>
      <c r="R32" s="30">
        <f t="shared" si="14"/>
        <v>0.0002872296</v>
      </c>
      <c r="S32" s="78">
        <f t="shared" si="15"/>
        <v>1055.7219558155887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307.59084091060913</v>
      </c>
      <c r="E33" s="69">
        <f t="shared" si="3"/>
        <v>322.6039955631442</v>
      </c>
      <c r="F33" s="69">
        <f t="shared" si="4"/>
        <v>336.948884097447</v>
      </c>
      <c r="G33" s="69">
        <f t="shared" si="5"/>
        <v>350.7075177918551</v>
      </c>
      <c r="H33" s="69">
        <f t="shared" si="6"/>
        <v>363.946391075573</v>
      </c>
      <c r="I33" s="69">
        <f t="shared" si="7"/>
        <v>376.7203048922947</v>
      </c>
      <c r="J33" s="69">
        <f t="shared" si="8"/>
        <v>389.0750578736101</v>
      </c>
      <c r="K33" s="69">
        <f t="shared" si="9"/>
        <v>401.04938997654966</v>
      </c>
      <c r="L33" s="69">
        <f t="shared" si="10"/>
        <v>412.67641771946717</v>
      </c>
      <c r="M33" s="69">
        <f t="shared" si="11"/>
        <v>423.9847146808263</v>
      </c>
      <c r="N33" s="69">
        <f t="shared" si="12"/>
        <v>434.9991388775284</v>
      </c>
      <c r="O33" s="70">
        <f t="shared" si="13"/>
        <v>445.74147593128555</v>
      </c>
      <c r="Q33" s="53"/>
      <c r="R33" s="54">
        <f t="shared" si="14"/>
        <v>0.00031174920000000007</v>
      </c>
      <c r="S33" s="106">
        <f t="shared" si="15"/>
        <v>972.6876446840251</v>
      </c>
      <c r="T33" s="56"/>
      <c r="U33" s="57"/>
      <c r="V33" s="325">
        <f t="shared" si="16"/>
        <v>8</v>
      </c>
      <c r="W33" s="326">
        <f t="shared" si="17"/>
        <v>8</v>
      </c>
    </row>
    <row r="34" spans="2:15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3:15" ht="18" customHeight="1">
      <c r="C35" s="82"/>
      <c r="D35" s="6" t="s">
        <v>31</v>
      </c>
      <c r="E35" s="920">
        <f>Q40</f>
        <v>8656.920037687825</v>
      </c>
      <c r="F35" s="920"/>
      <c r="G35" s="3" t="s">
        <v>33</v>
      </c>
      <c r="H35" s="183" t="s">
        <v>280</v>
      </c>
      <c r="I35" s="606">
        <f>R18</f>
        <v>0.6</v>
      </c>
      <c r="J35" s="3" t="s">
        <v>293</v>
      </c>
      <c r="K35" s="606">
        <f>R19</f>
        <v>0.7</v>
      </c>
      <c r="L35" s="3" t="s">
        <v>282</v>
      </c>
      <c r="M35" s="606">
        <f>R20</f>
        <v>0.3</v>
      </c>
      <c r="N35" s="3" t="s">
        <v>283</v>
      </c>
      <c r="O35" s="83" t="s">
        <v>284</v>
      </c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T37" s="1"/>
      <c r="U37" s="1"/>
    </row>
    <row r="38" spans="3:21" ht="15" customHeight="1">
      <c r="C38" s="82"/>
      <c r="D38" s="6" t="s">
        <v>154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7">
        <f>Q23</f>
        <v>3.0323459508012918</v>
      </c>
      <c r="T38" s="1"/>
      <c r="U38" s="1"/>
    </row>
    <row r="39" spans="3:21" ht="15" customHeight="1">
      <c r="C39" s="82"/>
      <c r="D39" s="6" t="s">
        <v>112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155</v>
      </c>
      <c r="E40" s="5" t="s">
        <v>28</v>
      </c>
      <c r="F40" s="5"/>
      <c r="G40" s="5"/>
      <c r="H40" s="5"/>
      <c r="I40" s="5"/>
      <c r="J40" s="5"/>
      <c r="K40" s="5"/>
      <c r="L40" s="131" t="s">
        <v>34</v>
      </c>
      <c r="M40" s="5"/>
      <c r="N40" s="5"/>
      <c r="O40" s="83"/>
      <c r="Q40" s="102">
        <f>(Q38/Q39)/10</f>
        <v>8656.920037687825</v>
      </c>
      <c r="T40" s="1"/>
      <c r="U40" s="1"/>
    </row>
    <row r="41" spans="3:21" ht="15" customHeight="1">
      <c r="C41" s="82"/>
      <c r="D41" s="6" t="s">
        <v>100</v>
      </c>
      <c r="E41" s="5" t="s">
        <v>101</v>
      </c>
      <c r="F41" s="5"/>
      <c r="G41" s="5"/>
      <c r="H41" s="5"/>
      <c r="I41" s="5"/>
      <c r="J41" s="5"/>
      <c r="K41" s="5"/>
      <c r="L41" s="130">
        <f>U18</f>
        <v>4</v>
      </c>
      <c r="M41" s="5"/>
      <c r="N41" s="5"/>
      <c r="O41" s="83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0">
        <f>$U$20</f>
        <v>3</v>
      </c>
      <c r="M42" s="5"/>
      <c r="N42" s="5"/>
      <c r="O42" s="83"/>
      <c r="Q42" s="100"/>
      <c r="T42" s="1"/>
      <c r="U42" s="1"/>
    </row>
    <row r="43" spans="3:21" ht="12" customHeight="1">
      <c r="C43" s="82"/>
      <c r="M43" s="5"/>
      <c r="N43" s="5"/>
      <c r="O43" s="83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T44" s="1"/>
      <c r="U44" s="1"/>
    </row>
  </sheetData>
  <sheetProtection/>
  <mergeCells count="25">
    <mergeCell ref="D22:D23"/>
    <mergeCell ref="O22:O23"/>
    <mergeCell ref="I22:I23"/>
    <mergeCell ref="L14:N14"/>
    <mergeCell ref="J22:J23"/>
    <mergeCell ref="K22:K23"/>
    <mergeCell ref="L22:L23"/>
    <mergeCell ref="G2:O2"/>
    <mergeCell ref="G3:O3"/>
    <mergeCell ref="G5:O5"/>
    <mergeCell ref="D10:M10"/>
    <mergeCell ref="D8:M8"/>
    <mergeCell ref="G4:O4"/>
    <mergeCell ref="C7:O7"/>
    <mergeCell ref="C2:F5"/>
    <mergeCell ref="D12:M12"/>
    <mergeCell ref="D20:O21"/>
    <mergeCell ref="E35:F35"/>
    <mergeCell ref="M22:M23"/>
    <mergeCell ref="N22:N23"/>
    <mergeCell ref="J14:K14"/>
    <mergeCell ref="E22:E23"/>
    <mergeCell ref="F22:F23"/>
    <mergeCell ref="G22:G23"/>
    <mergeCell ref="H22:H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9"/>
  <drawing r:id="rId8"/>
  <legacyDrawing r:id="rId7"/>
  <oleObjects>
    <oleObject progId="Equation.3" shapeId="2566044" r:id="rId1"/>
    <oleObject progId="Equation.3" shapeId="2566045" r:id="rId2"/>
    <oleObject progId="Equation.3" shapeId="2566046" r:id="rId3"/>
    <oleObject progId="Equation.3" shapeId="2566047" r:id="rId4"/>
    <oleObject progId="Equation.3" shapeId="2566048" r:id="rId5"/>
    <oleObject progId="Equation.3" shapeId="2566049" r:id="rId6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B1:W40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19.5" customHeight="1">
      <c r="C2" s="878"/>
      <c r="D2" s="879"/>
      <c r="E2" s="879"/>
      <c r="F2" s="880"/>
      <c r="G2" s="861" t="str">
        <f>'[5]BASE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19.5" customHeight="1">
      <c r="C3" s="881"/>
      <c r="D3" s="882"/>
      <c r="E3" s="882"/>
      <c r="F3" s="883"/>
      <c r="G3" s="864" t="str">
        <f>'[4]BASE '!G3</f>
        <v>Rodovia: MG-424</v>
      </c>
      <c r="H3" s="865"/>
      <c r="I3" s="865"/>
      <c r="J3" s="865"/>
      <c r="K3" s="865"/>
      <c r="L3" s="865"/>
      <c r="M3" s="865"/>
      <c r="N3" s="865"/>
      <c r="O3" s="866"/>
    </row>
    <row r="4" spans="3:18" ht="19.5" customHeight="1">
      <c r="C4" s="881"/>
      <c r="D4" s="882"/>
      <c r="E4" s="882"/>
      <c r="F4" s="883"/>
      <c r="G4" s="864" t="str">
        <f>'[4]BASE '!G4</f>
        <v>Trecho: Entroncamento MG-010  -  Sete Lagoas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19.5" customHeight="1">
      <c r="C5" s="884"/>
      <c r="D5" s="885"/>
      <c r="E5" s="885"/>
      <c r="F5" s="886"/>
      <c r="G5" s="908"/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28" t="s">
        <v>49</v>
      </c>
      <c r="E7" s="828"/>
      <c r="F7" s="828"/>
      <c r="G7" s="828"/>
      <c r="H7" s="828"/>
      <c r="I7" s="828"/>
      <c r="J7" s="828"/>
      <c r="K7" s="828"/>
      <c r="L7" s="828"/>
      <c r="M7" s="828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2.75">
      <c r="C9" s="82"/>
      <c r="D9" s="888" t="s">
        <v>331</v>
      </c>
      <c r="E9" s="888"/>
      <c r="F9" s="888"/>
      <c r="G9" s="888"/>
      <c r="H9" s="888"/>
      <c r="I9" s="888"/>
      <c r="J9" s="888"/>
      <c r="K9" s="888"/>
      <c r="L9" s="888"/>
      <c r="M9" s="888"/>
      <c r="N9" s="5"/>
      <c r="O9" s="83"/>
    </row>
    <row r="10" spans="3:15" ht="12.75">
      <c r="C10" s="82"/>
      <c r="M10" s="5"/>
      <c r="N10" s="5"/>
      <c r="O10" s="83"/>
    </row>
    <row r="11" spans="3:15" ht="12.75">
      <c r="C11" s="82"/>
      <c r="D11" s="921" t="s">
        <v>24</v>
      </c>
      <c r="E11" s="921"/>
      <c r="F11" s="921"/>
      <c r="G11" s="921"/>
      <c r="H11" s="921"/>
      <c r="I11" s="921"/>
      <c r="J11" s="921"/>
      <c r="K11" s="921"/>
      <c r="L11" s="921"/>
      <c r="M11" s="921"/>
      <c r="N11" s="5"/>
      <c r="O11" s="83"/>
    </row>
    <row r="12" spans="3:15" ht="19.5" customHeight="1">
      <c r="C12" s="87"/>
      <c r="D12" s="13"/>
      <c r="E12" s="13"/>
      <c r="F12" s="13"/>
      <c r="G12" s="13"/>
      <c r="H12" s="13"/>
      <c r="I12" s="13"/>
      <c r="O12" s="83"/>
    </row>
    <row r="13" spans="3:15" ht="15" customHeight="1">
      <c r="C13" s="87" t="s">
        <v>4</v>
      </c>
      <c r="D13" s="125">
        <v>0.05</v>
      </c>
      <c r="E13" s="5" t="s">
        <v>8</v>
      </c>
      <c r="F13" s="12"/>
      <c r="G13" s="12"/>
      <c r="H13" s="12"/>
      <c r="I13" s="12"/>
      <c r="J13" s="810" t="s">
        <v>51</v>
      </c>
      <c r="K13" s="810"/>
      <c r="L13" s="922"/>
      <c r="M13" s="922"/>
      <c r="N13" s="922"/>
      <c r="O13" s="83"/>
    </row>
    <row r="14" spans="3:15" ht="15" customHeight="1">
      <c r="C14" s="87" t="s">
        <v>5</v>
      </c>
      <c r="D14" s="125">
        <v>0.692</v>
      </c>
      <c r="E14" s="5" t="s">
        <v>7</v>
      </c>
      <c r="F14" s="8"/>
      <c r="G14" s="8"/>
      <c r="H14" s="8"/>
      <c r="I14" s="8"/>
      <c r="J14" s="6" t="s">
        <v>18</v>
      </c>
      <c r="K14" s="7"/>
      <c r="L14" s="5" t="s">
        <v>12</v>
      </c>
      <c r="M14" s="5"/>
      <c r="N14" s="5"/>
      <c r="O14" s="83"/>
    </row>
    <row r="15" spans="3:15" ht="15" customHeight="1">
      <c r="C15" s="87" t="s">
        <v>6</v>
      </c>
      <c r="D15" s="91">
        <f>D13/D14</f>
        <v>0.07225433526011561</v>
      </c>
      <c r="E15" s="8" t="s">
        <v>7</v>
      </c>
      <c r="F15" s="92">
        <f>POWER($D$15,2/3)</f>
        <v>0.1734772809921198</v>
      </c>
      <c r="G15" s="8"/>
      <c r="H15" s="8"/>
      <c r="I15" s="8"/>
      <c r="J15" s="6" t="s">
        <v>17</v>
      </c>
      <c r="K15" s="7"/>
      <c r="L15" s="5" t="s">
        <v>13</v>
      </c>
      <c r="M15" s="5"/>
      <c r="N15" s="5"/>
      <c r="O15" s="83"/>
    </row>
    <row r="16" spans="3:15" ht="15" customHeight="1">
      <c r="C16" s="87" t="s">
        <v>9</v>
      </c>
      <c r="D16" s="91">
        <f>'[5]BASE '!D17</f>
        <v>0.015</v>
      </c>
      <c r="E16" s="5"/>
      <c r="F16" s="5"/>
      <c r="G16" s="5"/>
      <c r="H16" s="5"/>
      <c r="I16" s="5"/>
      <c r="J16" s="6" t="s">
        <v>19</v>
      </c>
      <c r="K16" s="10">
        <v>194.48</v>
      </c>
      <c r="L16" s="8" t="s">
        <v>14</v>
      </c>
      <c r="M16" s="5"/>
      <c r="N16" s="5"/>
      <c r="O16" s="83"/>
    </row>
    <row r="17" spans="2:23" ht="18" customHeight="1">
      <c r="B17" s="15"/>
      <c r="C17" s="38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383"/>
      <c r="P17" s="19">
        <v>0.4</v>
      </c>
      <c r="Q17" s="16"/>
      <c r="R17" s="167"/>
      <c r="S17" s="167"/>
      <c r="T17" s="169"/>
      <c r="U17" s="3"/>
      <c r="V17" s="5"/>
      <c r="W17" s="5"/>
    </row>
    <row r="18" spans="2:23" ht="12.75">
      <c r="B18" s="22"/>
      <c r="C18" s="23"/>
      <c r="D18" s="830" t="s">
        <v>20</v>
      </c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2"/>
      <c r="P18" s="8"/>
      <c r="Q18" s="38" t="s">
        <v>10</v>
      </c>
      <c r="R18" s="124">
        <v>0.9</v>
      </c>
      <c r="S18" s="31"/>
      <c r="T18" s="38" t="s">
        <v>11</v>
      </c>
      <c r="U18" s="124">
        <v>6.1</v>
      </c>
      <c r="V18" s="5"/>
      <c r="W18" s="5"/>
    </row>
    <row r="19" spans="2:23" ht="12.75">
      <c r="B19" s="6"/>
      <c r="C19" s="938" t="s">
        <v>39</v>
      </c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7"/>
      <c r="Q19" s="38" t="s">
        <v>10</v>
      </c>
      <c r="R19" s="124">
        <v>0.9</v>
      </c>
      <c r="S19" s="31"/>
      <c r="T19" s="38" t="s">
        <v>210</v>
      </c>
      <c r="U19" s="124">
        <v>12.2</v>
      </c>
      <c r="V19" s="5"/>
      <c r="W19" s="5"/>
    </row>
    <row r="20" spans="2:23" ht="12.75">
      <c r="B20" s="7"/>
      <c r="C20" s="938"/>
      <c r="D20" s="939">
        <v>0.5</v>
      </c>
      <c r="E20" s="975">
        <v>1</v>
      </c>
      <c r="F20" s="975">
        <v>1.5</v>
      </c>
      <c r="G20" s="975">
        <v>2</v>
      </c>
      <c r="H20" s="975">
        <v>2.5</v>
      </c>
      <c r="I20" s="975">
        <v>3</v>
      </c>
      <c r="J20" s="975">
        <v>3.5</v>
      </c>
      <c r="K20" s="975">
        <v>4</v>
      </c>
      <c r="L20" s="975">
        <v>4.5</v>
      </c>
      <c r="M20" s="975">
        <v>5</v>
      </c>
      <c r="N20" s="975">
        <v>6</v>
      </c>
      <c r="O20" s="973">
        <v>7</v>
      </c>
      <c r="Q20" s="38" t="s">
        <v>10</v>
      </c>
      <c r="R20" s="124">
        <v>0.9</v>
      </c>
      <c r="S20" s="5"/>
      <c r="T20" s="38" t="s">
        <v>275</v>
      </c>
      <c r="U20" s="124">
        <v>8.7</v>
      </c>
      <c r="V20" s="5"/>
      <c r="W20" s="5"/>
    </row>
    <row r="21" spans="2:23" ht="12.75">
      <c r="B21" s="22"/>
      <c r="C21" s="25"/>
      <c r="D21" s="940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4"/>
      <c r="Q21" s="38" t="s">
        <v>10</v>
      </c>
      <c r="R21" s="124">
        <v>0.9</v>
      </c>
      <c r="S21" s="5"/>
      <c r="T21" s="38" t="s">
        <v>276</v>
      </c>
      <c r="U21" s="124">
        <v>14.8</v>
      </c>
      <c r="V21" s="5"/>
      <c r="W21" s="5"/>
    </row>
    <row r="22" spans="2:23" ht="21" customHeight="1">
      <c r="B22" s="22"/>
      <c r="C22" s="941" t="s">
        <v>40</v>
      </c>
      <c r="D22" s="943">
        <f aca="true" t="shared" si="0" ref="D22:O22">(($Q$23/$R$24)/10)*SQRT(D20)</f>
        <v>137.75718760861557</v>
      </c>
      <c r="E22" s="945">
        <f t="shared" si="0"/>
        <v>194.818083030479</v>
      </c>
      <c r="F22" s="945">
        <f t="shared" si="0"/>
        <v>238.60244804591989</v>
      </c>
      <c r="G22" s="945">
        <f t="shared" si="0"/>
        <v>275.51437521723113</v>
      </c>
      <c r="H22" s="945">
        <f t="shared" si="0"/>
        <v>308.0344358820561</v>
      </c>
      <c r="I22" s="945">
        <f t="shared" si="0"/>
        <v>337.4348180419617</v>
      </c>
      <c r="J22" s="945">
        <f t="shared" si="0"/>
        <v>364.47125972406536</v>
      </c>
      <c r="K22" s="945">
        <f t="shared" si="0"/>
        <v>389.636166060958</v>
      </c>
      <c r="L22" s="945">
        <f t="shared" si="0"/>
        <v>413.2715628258466</v>
      </c>
      <c r="M22" s="945">
        <f t="shared" si="0"/>
        <v>435.6264769023493</v>
      </c>
      <c r="N22" s="945">
        <f t="shared" si="0"/>
        <v>477.20489609183977</v>
      </c>
      <c r="O22" s="947">
        <f t="shared" si="0"/>
        <v>515.44019859698</v>
      </c>
      <c r="Q22" s="11" t="s">
        <v>22</v>
      </c>
      <c r="R22" s="11" t="s">
        <v>21</v>
      </c>
      <c r="S22" s="11" t="s">
        <v>23</v>
      </c>
      <c r="T22" s="114"/>
      <c r="U22" s="7"/>
      <c r="V22" s="7"/>
      <c r="W22" s="7"/>
    </row>
    <row r="23" spans="2:23" ht="21" customHeight="1">
      <c r="B23" s="22"/>
      <c r="C23" s="942"/>
      <c r="D23" s="944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8"/>
      <c r="Q23" s="590">
        <f>($D$13*$F$15)/$D$16</f>
        <v>0.578257603307066</v>
      </c>
      <c r="R23" s="30"/>
      <c r="S23" s="26"/>
      <c r="T23" s="114"/>
      <c r="U23" s="3"/>
      <c r="V23" s="3"/>
      <c r="W23" s="3"/>
    </row>
    <row r="24" spans="3:23" ht="21" customHeight="1">
      <c r="C24" s="949" t="s">
        <v>41</v>
      </c>
      <c r="D24" s="943">
        <f aca="true" t="shared" si="1" ref="D24:O24">(($Q$23/$R$25)/10)*SQRT(D20)</f>
        <v>68.87859380430778</v>
      </c>
      <c r="E24" s="945">
        <f t="shared" si="1"/>
        <v>97.4090415152395</v>
      </c>
      <c r="F24" s="945">
        <f t="shared" si="1"/>
        <v>119.30122402295994</v>
      </c>
      <c r="G24" s="945">
        <f t="shared" si="1"/>
        <v>137.75718760861557</v>
      </c>
      <c r="H24" s="945">
        <f t="shared" si="1"/>
        <v>154.01721794102804</v>
      </c>
      <c r="I24" s="945">
        <f t="shared" si="1"/>
        <v>168.71740902098085</v>
      </c>
      <c r="J24" s="945">
        <f t="shared" si="1"/>
        <v>182.23562986203268</v>
      </c>
      <c r="K24" s="945">
        <f t="shared" si="1"/>
        <v>194.818083030479</v>
      </c>
      <c r="L24" s="945">
        <f t="shared" si="1"/>
        <v>206.6357814129233</v>
      </c>
      <c r="M24" s="945">
        <f t="shared" si="1"/>
        <v>217.81323845117464</v>
      </c>
      <c r="N24" s="945">
        <f t="shared" si="1"/>
        <v>238.60244804591989</v>
      </c>
      <c r="O24" s="947">
        <f t="shared" si="1"/>
        <v>257.72009929849</v>
      </c>
      <c r="Q24" s="3"/>
      <c r="R24" s="30">
        <f>((0.278*$K$16*POWER(10,-6)*(($R$18*$U$18))))</f>
        <v>0.00029681926560000003</v>
      </c>
      <c r="S24" s="26">
        <f>($Q$23/R24)/10</f>
        <v>194.818083030479</v>
      </c>
      <c r="T24" s="3"/>
      <c r="U24" s="10"/>
      <c r="V24" s="52"/>
      <c r="W24" s="591"/>
    </row>
    <row r="25" spans="3:23" ht="18" customHeight="1">
      <c r="C25" s="950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3"/>
      <c r="R25" s="30">
        <f>((0.278*$K$16*POWER(10,-6)*(($R$19*$U$19))))</f>
        <v>0.0005936385312000001</v>
      </c>
      <c r="S25" s="26">
        <f>($Q$23/R25)/10</f>
        <v>97.4090415152395</v>
      </c>
      <c r="T25" s="3"/>
      <c r="U25" s="10"/>
      <c r="V25" s="52"/>
      <c r="W25" s="591"/>
    </row>
    <row r="26" spans="3:19" s="592" customFormat="1" ht="42" customHeight="1">
      <c r="C26" s="593" t="s">
        <v>285</v>
      </c>
      <c r="D26" s="594">
        <f aca="true" t="shared" si="2" ref="D26:O26">(($Q$23/$R$26)/10)*SQRT(D20)</f>
        <v>96.58837292098335</v>
      </c>
      <c r="E26" s="595">
        <f t="shared" si="2"/>
        <v>136.59658695240483</v>
      </c>
      <c r="F26" s="595">
        <f t="shared" si="2"/>
        <v>167.29596931955305</v>
      </c>
      <c r="G26" s="595">
        <f t="shared" si="2"/>
        <v>193.1767458419667</v>
      </c>
      <c r="H26" s="595">
        <f t="shared" si="2"/>
        <v>215.97816768741868</v>
      </c>
      <c r="I26" s="595">
        <f t="shared" si="2"/>
        <v>236.59222874206515</v>
      </c>
      <c r="J26" s="595">
        <f t="shared" si="2"/>
        <v>255.54881428928726</v>
      </c>
      <c r="K26" s="595">
        <f t="shared" si="2"/>
        <v>273.19317390480967</v>
      </c>
      <c r="L26" s="595">
        <f t="shared" si="2"/>
        <v>289.76511876295</v>
      </c>
      <c r="M26" s="595">
        <f t="shared" si="2"/>
        <v>305.439253920038</v>
      </c>
      <c r="N26" s="595">
        <f t="shared" si="2"/>
        <v>334.5919386391061</v>
      </c>
      <c r="O26" s="596">
        <f t="shared" si="2"/>
        <v>361.4005990162735</v>
      </c>
      <c r="R26" s="597">
        <f>((0.278*$K$16*POWER(10,-6)*(($R$20*$U$20))))</f>
        <v>0.00042333239519999995</v>
      </c>
      <c r="S26" s="598">
        <f>($Q$23/R26)/10</f>
        <v>136.59658695240483</v>
      </c>
    </row>
    <row r="27" spans="3:19" s="592" customFormat="1" ht="42" customHeight="1">
      <c r="C27" s="593" t="s">
        <v>286</v>
      </c>
      <c r="D27" s="594">
        <f aca="true" t="shared" si="3" ref="D27:O27">(($Q$23/$R$27)/10)*SQRT(D20)</f>
        <v>56.7783002981456</v>
      </c>
      <c r="E27" s="595">
        <f t="shared" si="3"/>
        <v>80.29664233012986</v>
      </c>
      <c r="F27" s="595">
        <f t="shared" si="3"/>
        <v>98.3429008837913</v>
      </c>
      <c r="G27" s="595">
        <f t="shared" si="3"/>
        <v>113.5566005962912</v>
      </c>
      <c r="H27" s="595">
        <f t="shared" si="3"/>
        <v>126.96013911355016</v>
      </c>
      <c r="I27" s="595">
        <f t="shared" si="3"/>
        <v>139.0778641929707</v>
      </c>
      <c r="J27" s="595">
        <f t="shared" si="3"/>
        <v>150.22126245383777</v>
      </c>
      <c r="K27" s="595">
        <f t="shared" si="3"/>
        <v>160.5932846602597</v>
      </c>
      <c r="L27" s="595">
        <f t="shared" si="3"/>
        <v>170.3349008944368</v>
      </c>
      <c r="M27" s="595">
        <f t="shared" si="3"/>
        <v>179.54875061515747</v>
      </c>
      <c r="N27" s="595">
        <f t="shared" si="3"/>
        <v>196.6858017675826</v>
      </c>
      <c r="O27" s="596">
        <f t="shared" si="3"/>
        <v>212.44494671902558</v>
      </c>
      <c r="R27" s="597">
        <f>((0.278*$K$16*POWER(10,-6)*(($R$21*$U$21))))</f>
        <v>0.0007201516608</v>
      </c>
      <c r="S27" s="598">
        <f>($Q$23/R27)/10</f>
        <v>80.29664233012986</v>
      </c>
    </row>
    <row r="28" spans="3:15" ht="42" customHeight="1">
      <c r="C28" s="599" t="s">
        <v>211</v>
      </c>
      <c r="D28" s="600">
        <f>(D29*$D$13)</f>
        <v>0.04088898725711069</v>
      </c>
      <c r="E28" s="600">
        <f>($E$29*$D$13)</f>
        <v>0.057825760330706605</v>
      </c>
      <c r="F28" s="600">
        <f>($F$29*$D$13)</f>
        <v>0.07082180339935211</v>
      </c>
      <c r="G28" s="600">
        <f>($G$29*$D$13)</f>
        <v>0.08177797451422138</v>
      </c>
      <c r="H28" s="600">
        <f>($H$29*$D$13)</f>
        <v>0.09143055503802218</v>
      </c>
      <c r="I28" s="600">
        <f>($I$29*$D$13)</f>
        <v>0.10015715487908472</v>
      </c>
      <c r="J28" s="600">
        <f>($J$29*$D$13)</f>
        <v>0.10818209164360396</v>
      </c>
      <c r="K28" s="600">
        <f>($K$29*$D$13)</f>
        <v>0.11565152066141321</v>
      </c>
      <c r="L28" s="600">
        <f>($L$29*$D$13)</f>
        <v>0.12266696177133207</v>
      </c>
      <c r="M28" s="600">
        <f>($M$29*$D$13)</f>
        <v>0.12930233095007068</v>
      </c>
      <c r="N28" s="600">
        <f>($N$29*$D$13)</f>
        <v>0.14164360679870422</v>
      </c>
      <c r="O28" s="601">
        <f>($O$29*$D$13)</f>
        <v>0.1529925812082738</v>
      </c>
    </row>
    <row r="29" spans="3:15" ht="42" customHeight="1">
      <c r="C29" s="185" t="s">
        <v>212</v>
      </c>
      <c r="D29" s="186">
        <f>($F$15/$D$16)*POWER($D$20/100,1/2)</f>
        <v>0.8177797451422137</v>
      </c>
      <c r="E29" s="186">
        <f>($F$15/$D$16)*POWER($E$20/100,1/2)</f>
        <v>1.156515206614132</v>
      </c>
      <c r="F29" s="186">
        <f>($F$15/$D$16)*POWER($F$20/100,1/2)</f>
        <v>1.416436067987042</v>
      </c>
      <c r="G29" s="186">
        <f>($F$15/$D$16)*POWER($G$20/100,1/2)</f>
        <v>1.6355594902844275</v>
      </c>
      <c r="H29" s="186">
        <f>($F$15/$D$16)*POWER($H$20/100,1/2)</f>
        <v>1.8286111007604435</v>
      </c>
      <c r="I29" s="186">
        <f>($F$15/$D$16)*POWER($I$20/100,1/2)</f>
        <v>2.0031430975816944</v>
      </c>
      <c r="J29" s="186">
        <f>($F$15/$D$16)*POWER($J$20/100,1/2)</f>
        <v>2.163641832872079</v>
      </c>
      <c r="K29" s="186">
        <f>($F$15/$D$16)*POWER($K$20/100,1/2)</f>
        <v>2.313030413228264</v>
      </c>
      <c r="L29" s="186">
        <f>($F$15/$D$16)*POWER($L$20/100,1/2)</f>
        <v>2.4533392354266415</v>
      </c>
      <c r="M29" s="186">
        <f>($F$15/$D$16)*POWER($M$20/100,1/2)</f>
        <v>2.5860466190014133</v>
      </c>
      <c r="N29" s="186">
        <f>($F$15/$D$16)*POWER($N$20/100,1/2)</f>
        <v>2.832872135974084</v>
      </c>
      <c r="O29" s="187">
        <f>($F$15/$D$16)*POWER($O$20/100,1/2)</f>
        <v>3.059851624165476</v>
      </c>
    </row>
    <row r="30" spans="3:15" ht="18" customHeight="1">
      <c r="C30" s="82"/>
      <c r="D30" s="602" t="s">
        <v>31</v>
      </c>
      <c r="E30" s="951">
        <f>Q34</f>
        <v>1069.5512758373297</v>
      </c>
      <c r="F30" s="951"/>
      <c r="G30" s="603" t="s">
        <v>33</v>
      </c>
      <c r="H30" s="604" t="s">
        <v>277</v>
      </c>
      <c r="I30" s="605">
        <f>R18</f>
        <v>0.9</v>
      </c>
      <c r="J30" s="293" t="s">
        <v>278</v>
      </c>
      <c r="K30" s="5"/>
      <c r="L30" s="5"/>
      <c r="M30" s="5"/>
      <c r="N30" s="5"/>
      <c r="O30" s="83"/>
    </row>
    <row r="31" spans="3:21" ht="15" customHeight="1">
      <c r="C31" s="82"/>
      <c r="D31" s="6"/>
      <c r="E31" s="509"/>
      <c r="F31" s="509"/>
      <c r="G31" s="3"/>
      <c r="H31" s="183"/>
      <c r="I31" s="606"/>
      <c r="J31" s="168"/>
      <c r="K31" s="5"/>
      <c r="L31" s="5"/>
      <c r="M31" s="5"/>
      <c r="N31" s="5"/>
      <c r="O31" s="83"/>
      <c r="T31" s="1"/>
      <c r="U31" s="1"/>
    </row>
    <row r="32" spans="3:21" ht="15" customHeight="1">
      <c r="C32" s="82"/>
      <c r="D32" s="6" t="s">
        <v>31</v>
      </c>
      <c r="E32" s="5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83"/>
      <c r="Q32" s="97">
        <f>Q23</f>
        <v>0.578257603307066</v>
      </c>
      <c r="T32" s="1"/>
      <c r="U32" s="1"/>
    </row>
    <row r="33" spans="3:21" ht="15" customHeight="1">
      <c r="C33" s="82"/>
      <c r="D33" s="6" t="s">
        <v>32</v>
      </c>
      <c r="E33" s="5" t="s">
        <v>26</v>
      </c>
      <c r="F33" s="5"/>
      <c r="G33" s="5"/>
      <c r="H33" s="5"/>
      <c r="I33" s="5"/>
      <c r="J33" s="5"/>
      <c r="K33" s="5"/>
      <c r="L33" s="5"/>
      <c r="M33" s="5"/>
      <c r="N33" s="5"/>
      <c r="O33" s="83"/>
      <c r="Q33" s="98">
        <f>((0.278*$K$16*POWER(10,-6)))</f>
        <v>5.406544E-05</v>
      </c>
      <c r="T33" s="1"/>
      <c r="U33" s="1"/>
    </row>
    <row r="34" spans="3:21" ht="15" customHeight="1">
      <c r="C34" s="82"/>
      <c r="D34" s="6" t="s">
        <v>29</v>
      </c>
      <c r="E34" s="5" t="s">
        <v>172</v>
      </c>
      <c r="F34" s="5"/>
      <c r="G34" s="5"/>
      <c r="H34" s="5"/>
      <c r="I34" s="5"/>
      <c r="J34" s="5"/>
      <c r="K34" s="5"/>
      <c r="L34" s="118">
        <f>U18</f>
        <v>6.1</v>
      </c>
      <c r="M34" s="5"/>
      <c r="N34" s="5"/>
      <c r="O34" s="83"/>
      <c r="Q34" s="102">
        <f>(Q32/Q33)/10</f>
        <v>1069.5512758373297</v>
      </c>
      <c r="T34" s="1"/>
      <c r="U34" s="1"/>
    </row>
    <row r="35" spans="3:21" ht="15" customHeight="1">
      <c r="C35" s="82"/>
      <c r="D35" s="6" t="s">
        <v>29</v>
      </c>
      <c r="E35" s="5" t="s">
        <v>173</v>
      </c>
      <c r="F35" s="5"/>
      <c r="G35" s="5"/>
      <c r="H35" s="5"/>
      <c r="I35" s="5"/>
      <c r="J35" s="5"/>
      <c r="K35" s="5"/>
      <c r="L35" s="118">
        <f>U19</f>
        <v>12.2</v>
      </c>
      <c r="M35" s="5"/>
      <c r="N35" s="5"/>
      <c r="O35" s="83"/>
      <c r="Q35" s="99"/>
      <c r="T35" s="1"/>
      <c r="U35" s="1"/>
    </row>
    <row r="36" spans="3:21" ht="15" customHeight="1">
      <c r="C36" s="82"/>
      <c r="D36" s="6" t="s">
        <v>29</v>
      </c>
      <c r="E36" s="5" t="s">
        <v>287</v>
      </c>
      <c r="F36" s="5"/>
      <c r="G36" s="5"/>
      <c r="H36" s="5"/>
      <c r="I36" s="5"/>
      <c r="J36" s="5"/>
      <c r="K36" s="5"/>
      <c r="L36" s="118">
        <f>U20</f>
        <v>8.7</v>
      </c>
      <c r="M36" s="5"/>
      <c r="N36" s="5"/>
      <c r="O36" s="83"/>
      <c r="Q36" s="100"/>
      <c r="T36" s="1"/>
      <c r="U36" s="1"/>
    </row>
    <row r="37" spans="3:21" ht="15" customHeight="1">
      <c r="C37" s="82"/>
      <c r="D37" s="6" t="s">
        <v>29</v>
      </c>
      <c r="E37" s="5" t="s">
        <v>288</v>
      </c>
      <c r="F37" s="5"/>
      <c r="G37" s="5"/>
      <c r="H37" s="5"/>
      <c r="I37" s="5"/>
      <c r="J37" s="5"/>
      <c r="K37" s="5"/>
      <c r="L37" s="118">
        <f>U21</f>
        <v>14.8</v>
      </c>
      <c r="M37" s="5"/>
      <c r="N37" s="5"/>
      <c r="O37" s="83"/>
      <c r="R37" s="101"/>
      <c r="T37" s="1"/>
      <c r="U37" s="1"/>
    </row>
    <row r="38" spans="3:21" ht="6.75" customHeight="1">
      <c r="C38" s="952"/>
      <c r="D38" s="953"/>
      <c r="E38" s="953"/>
      <c r="F38" s="953"/>
      <c r="G38" s="953"/>
      <c r="H38" s="953"/>
      <c r="I38" s="953"/>
      <c r="J38" s="953"/>
      <c r="K38" s="953"/>
      <c r="L38" s="953"/>
      <c r="M38" s="953"/>
      <c r="N38" s="953"/>
      <c r="O38" s="954"/>
      <c r="T38" s="1"/>
      <c r="U38" s="1"/>
    </row>
    <row r="39" spans="20:21" s="5" customFormat="1" ht="15" customHeight="1">
      <c r="T39" s="3"/>
      <c r="U39" s="3"/>
    </row>
    <row r="40" ht="12.75">
      <c r="H40" s="5"/>
    </row>
  </sheetData>
  <sheetProtection/>
  <mergeCells count="54">
    <mergeCell ref="C2:F5"/>
    <mergeCell ref="G3:O3"/>
    <mergeCell ref="O24:O25"/>
    <mergeCell ref="C38:O38"/>
    <mergeCell ref="K24:K25"/>
    <mergeCell ref="L24:L25"/>
    <mergeCell ref="M24:M25"/>
    <mergeCell ref="N24:N25"/>
    <mergeCell ref="G24:G25"/>
    <mergeCell ref="H24:H25"/>
    <mergeCell ref="I24:I25"/>
    <mergeCell ref="J24:J25"/>
    <mergeCell ref="C24:C25"/>
    <mergeCell ref="D24:D25"/>
    <mergeCell ref="E24:E25"/>
    <mergeCell ref="F24:F25"/>
    <mergeCell ref="N22:N23"/>
    <mergeCell ref="E20:E21"/>
    <mergeCell ref="O22:O23"/>
    <mergeCell ref="I22:I23"/>
    <mergeCell ref="J22:J23"/>
    <mergeCell ref="K22:K23"/>
    <mergeCell ref="L22:L23"/>
    <mergeCell ref="M22:M23"/>
    <mergeCell ref="D8:M8"/>
    <mergeCell ref="K20:K21"/>
    <mergeCell ref="L20:L21"/>
    <mergeCell ref="M20:M21"/>
    <mergeCell ref="D20:D21"/>
    <mergeCell ref="J13:K13"/>
    <mergeCell ref="F20:F21"/>
    <mergeCell ref="G20:G21"/>
    <mergeCell ref="I20:I21"/>
    <mergeCell ref="L13:N13"/>
    <mergeCell ref="D7:M7"/>
    <mergeCell ref="C19:C20"/>
    <mergeCell ref="N20:N21"/>
    <mergeCell ref="D22:D23"/>
    <mergeCell ref="E22:E23"/>
    <mergeCell ref="F22:F23"/>
    <mergeCell ref="G22:G23"/>
    <mergeCell ref="H22:H23"/>
    <mergeCell ref="J20:J21"/>
    <mergeCell ref="C22:C23"/>
    <mergeCell ref="E30:F30"/>
    <mergeCell ref="Q4:R4"/>
    <mergeCell ref="O20:O21"/>
    <mergeCell ref="G2:O2"/>
    <mergeCell ref="G4:O4"/>
    <mergeCell ref="G5:O5"/>
    <mergeCell ref="D9:M9"/>
    <mergeCell ref="D11:M11"/>
    <mergeCell ref="D18:O19"/>
    <mergeCell ref="H20:H21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3"/>
  <legacyDrawing r:id="rId2"/>
  <oleObjects>
    <oleObject progId="Equation.3" shapeId="169978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B1:W133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'[4]BASE '!G3</f>
        <v>Rodovia: MG-424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'[4]BASE '!G4</f>
        <v>Trecho: Entroncamento MG-010  -  Sete Lagoas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 t="e">
        <f>'[4]BASE '!G5</f>
        <v>#REF!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28" t="s">
        <v>48</v>
      </c>
      <c r="E7" s="828"/>
      <c r="F7" s="828"/>
      <c r="G7" s="828"/>
      <c r="H7" s="828"/>
      <c r="I7" s="828"/>
      <c r="J7" s="828"/>
      <c r="K7" s="828"/>
      <c r="L7" s="828"/>
      <c r="M7" s="828"/>
      <c r="N7" s="116"/>
      <c r="O7" s="90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 t="s">
        <v>54</v>
      </c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279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/>
      <c r="E14" s="5" t="s">
        <v>8</v>
      </c>
      <c r="F14" s="12"/>
      <c r="G14" s="12"/>
      <c r="H14" s="12"/>
      <c r="I14" s="12"/>
      <c r="J14" s="810" t="s">
        <v>51</v>
      </c>
      <c r="K14" s="810"/>
      <c r="L14" s="922"/>
      <c r="M14" s="922"/>
      <c r="N14" s="922"/>
      <c r="O14" s="83"/>
      <c r="P14" s="299"/>
    </row>
    <row r="15" spans="3:16" ht="15" customHeight="1" thickBot="1">
      <c r="C15" s="87" t="s">
        <v>5</v>
      </c>
      <c r="D15" s="125"/>
      <c r="E15" s="5" t="s">
        <v>7</v>
      </c>
      <c r="F15" s="8"/>
      <c r="G15" s="8"/>
      <c r="H15" s="8"/>
      <c r="I15" s="8"/>
      <c r="J15" s="6" t="s">
        <v>18</v>
      </c>
      <c r="K15" s="215"/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 t="e">
        <f>D14/D15</f>
        <v>#DIV/0!</v>
      </c>
      <c r="E16" s="8" t="s">
        <v>7</v>
      </c>
      <c r="F16" s="92" t="e">
        <f>POWER($D$16,2/3)</f>
        <v>#DIV/0!</v>
      </c>
      <c r="G16" s="8"/>
      <c r="H16" s="8"/>
      <c r="I16" s="8"/>
      <c r="J16" s="6" t="s">
        <v>17</v>
      </c>
      <c r="K16" s="215"/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'[4]BASE '!$D$17</f>
        <v>0.015</v>
      </c>
      <c r="E17" s="5"/>
      <c r="F17" s="5"/>
      <c r="G17" s="5"/>
      <c r="H17" s="5"/>
      <c r="I17" s="5"/>
      <c r="J17" s="6" t="s">
        <v>19</v>
      </c>
      <c r="K17" s="307"/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186" t="e">
        <f aca="true" t="shared" si="0" ref="D18:O18">D19*$D$14</f>
        <v>#DIV/0!</v>
      </c>
      <c r="E18" s="186" t="e">
        <f t="shared" si="0"/>
        <v>#DIV/0!</v>
      </c>
      <c r="F18" s="186" t="e">
        <f t="shared" si="0"/>
        <v>#DIV/0!</v>
      </c>
      <c r="G18" s="186" t="e">
        <f t="shared" si="0"/>
        <v>#DIV/0!</v>
      </c>
      <c r="H18" s="186" t="e">
        <f t="shared" si="0"/>
        <v>#DIV/0!</v>
      </c>
      <c r="I18" s="186" t="e">
        <f t="shared" si="0"/>
        <v>#DIV/0!</v>
      </c>
      <c r="J18" s="186" t="e">
        <f t="shared" si="0"/>
        <v>#DIV/0!</v>
      </c>
      <c r="K18" s="186" t="e">
        <f t="shared" si="0"/>
        <v>#DIV/0!</v>
      </c>
      <c r="L18" s="186" t="e">
        <f t="shared" si="0"/>
        <v>#DIV/0!</v>
      </c>
      <c r="M18" s="186" t="e">
        <f t="shared" si="0"/>
        <v>#DIV/0!</v>
      </c>
      <c r="N18" s="186" t="e">
        <f t="shared" si="0"/>
        <v>#DIV/0!</v>
      </c>
      <c r="O18" s="187" t="e">
        <f t="shared" si="0"/>
        <v>#DIV/0!</v>
      </c>
      <c r="P18" s="310"/>
      <c r="Q18" s="46" t="s">
        <v>139</v>
      </c>
      <c r="R18" s="311">
        <v>0.9</v>
      </c>
      <c r="S18" s="31"/>
      <c r="T18" s="38" t="s">
        <v>29</v>
      </c>
      <c r="U18" s="311">
        <v>11</v>
      </c>
      <c r="V18" s="5"/>
      <c r="W18" s="45"/>
    </row>
    <row r="19" spans="2:23" ht="12.75">
      <c r="B19" s="15"/>
      <c r="C19" s="185" t="s">
        <v>16</v>
      </c>
      <c r="D19" s="188" t="e">
        <f aca="true" t="shared" si="1" ref="D19:O19">($F$16/$D$17)*POWER(D22/100,1/2)</f>
        <v>#DIV/0!</v>
      </c>
      <c r="E19" s="188" t="e">
        <f t="shared" si="1"/>
        <v>#DIV/0!</v>
      </c>
      <c r="F19" s="188" t="e">
        <f t="shared" si="1"/>
        <v>#DIV/0!</v>
      </c>
      <c r="G19" s="188" t="e">
        <f t="shared" si="1"/>
        <v>#DIV/0!</v>
      </c>
      <c r="H19" s="188" t="e">
        <f t="shared" si="1"/>
        <v>#DIV/0!</v>
      </c>
      <c r="I19" s="188" t="e">
        <f t="shared" si="1"/>
        <v>#DIV/0!</v>
      </c>
      <c r="J19" s="188" t="e">
        <f t="shared" si="1"/>
        <v>#DIV/0!</v>
      </c>
      <c r="K19" s="188" t="e">
        <f t="shared" si="1"/>
        <v>#DIV/0!</v>
      </c>
      <c r="L19" s="188" t="e">
        <f t="shared" si="1"/>
        <v>#DIV/0!</v>
      </c>
      <c r="M19" s="188" t="e">
        <f t="shared" si="1"/>
        <v>#DIV/0!</v>
      </c>
      <c r="N19" s="188" t="e">
        <f t="shared" si="1"/>
        <v>#DIV/0!</v>
      </c>
      <c r="O19" s="189" t="e">
        <f t="shared" si="1"/>
        <v>#DIV/0!</v>
      </c>
      <c r="P19" s="312">
        <v>0.4</v>
      </c>
      <c r="Q19" s="46" t="s">
        <v>140</v>
      </c>
      <c r="R19" s="311">
        <v>0.6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 t="e">
        <f>($D$14*$F$16)/$D$17</f>
        <v>#DIV/0!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 t="e">
        <f aca="true" t="shared" si="2" ref="D24:D33">(($Q$23/R24)/10)*SQRT($D$22)</f>
        <v>#DIV/0!</v>
      </c>
      <c r="E24" s="65" t="e">
        <f aca="true" t="shared" si="3" ref="E24:E33">(($Q$23/R24)/10)*SQRT($E$22)</f>
        <v>#DIV/0!</v>
      </c>
      <c r="F24" s="65" t="e">
        <f aca="true" t="shared" si="4" ref="F24:F33">(($Q$23/R24)/10)*SQRT($F$22)</f>
        <v>#DIV/0!</v>
      </c>
      <c r="G24" s="65" t="e">
        <f aca="true" t="shared" si="5" ref="G24:G33">(($Q$23/R24)/10)*SQRT($G$22)</f>
        <v>#DIV/0!</v>
      </c>
      <c r="H24" s="65" t="e">
        <f aca="true" t="shared" si="6" ref="H24:H33">(($Q$23/R24)/10)*SQRT($H$22)</f>
        <v>#DIV/0!</v>
      </c>
      <c r="I24" s="65" t="e">
        <f aca="true" t="shared" si="7" ref="I24:I33">(($Q$23/R24)/10)*SQRT($I$22)</f>
        <v>#DIV/0!</v>
      </c>
      <c r="J24" s="65" t="e">
        <f aca="true" t="shared" si="8" ref="J24:J33">(($Q$23/R24)/10)*SQRT($J$22)</f>
        <v>#DIV/0!</v>
      </c>
      <c r="K24" s="65" t="e">
        <f aca="true" t="shared" si="9" ref="K24:K33">(($Q$23/R24)/10)*SQRT($K$22)</f>
        <v>#DIV/0!</v>
      </c>
      <c r="L24" s="65" t="e">
        <f aca="true" t="shared" si="10" ref="L24:L33">(($Q$23/R24)/10)*SQRT($L$22)</f>
        <v>#DIV/0!</v>
      </c>
      <c r="M24" s="65" t="e">
        <f aca="true" t="shared" si="11" ref="M24:M33">(($Q$23/R24)/10)*SQRT($M$22)</f>
        <v>#DIV/0!</v>
      </c>
      <c r="N24" s="65" t="e">
        <f aca="true" t="shared" si="12" ref="N24:N33">(($Q$23/R24)/10)*SQRT($N$22)</f>
        <v>#DIV/0!</v>
      </c>
      <c r="O24" s="66" t="e">
        <f aca="true" t="shared" si="13" ref="O24:O33">(($Q$23/R24)/10)*SQRT($O$22)</f>
        <v>#DIV/0!</v>
      </c>
      <c r="P24" s="299"/>
      <c r="Q24" s="51"/>
      <c r="R24" s="29">
        <f aca="true" t="shared" si="14" ref="R24:R33">((0.278*$K$17*POWER(10,-6)*(($R$18*$U$18)+($R$19*W24)+($R$20*$U$20))))</f>
        <v>0</v>
      </c>
      <c r="S24" s="165" t="e">
        <f aca="true" t="shared" si="15" ref="S24:S33">($Q$23/R24)/10</f>
        <v>#DIV/0!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 t="e">
        <f t="shared" si="2"/>
        <v>#DIV/0!</v>
      </c>
      <c r="E25" s="67" t="e">
        <f t="shared" si="3"/>
        <v>#DIV/0!</v>
      </c>
      <c r="F25" s="67" t="e">
        <f t="shared" si="4"/>
        <v>#DIV/0!</v>
      </c>
      <c r="G25" s="67" t="e">
        <f t="shared" si="5"/>
        <v>#DIV/0!</v>
      </c>
      <c r="H25" s="67" t="e">
        <f t="shared" si="6"/>
        <v>#DIV/0!</v>
      </c>
      <c r="I25" s="67" t="e">
        <f t="shared" si="7"/>
        <v>#DIV/0!</v>
      </c>
      <c r="J25" s="67" t="e">
        <f t="shared" si="8"/>
        <v>#DIV/0!</v>
      </c>
      <c r="K25" s="67" t="e">
        <f t="shared" si="9"/>
        <v>#DIV/0!</v>
      </c>
      <c r="L25" s="67" t="e">
        <f t="shared" si="10"/>
        <v>#DIV/0!</v>
      </c>
      <c r="M25" s="67" t="e">
        <f t="shared" si="11"/>
        <v>#DIV/0!</v>
      </c>
      <c r="N25" s="67" t="e">
        <f t="shared" si="12"/>
        <v>#DIV/0!</v>
      </c>
      <c r="O25" s="68" t="e">
        <f t="shared" si="13"/>
        <v>#DIV/0!</v>
      </c>
      <c r="P25" s="299"/>
      <c r="Q25" s="51"/>
      <c r="R25" s="30">
        <f t="shared" si="14"/>
        <v>0</v>
      </c>
      <c r="S25" s="78" t="e">
        <f t="shared" si="15"/>
        <v>#DIV/0!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 t="e">
        <f t="shared" si="2"/>
        <v>#DIV/0!</v>
      </c>
      <c r="E26" s="67" t="e">
        <f t="shared" si="3"/>
        <v>#DIV/0!</v>
      </c>
      <c r="F26" s="67" t="e">
        <f t="shared" si="4"/>
        <v>#DIV/0!</v>
      </c>
      <c r="G26" s="67" t="e">
        <f t="shared" si="5"/>
        <v>#DIV/0!</v>
      </c>
      <c r="H26" s="67" t="e">
        <f t="shared" si="6"/>
        <v>#DIV/0!</v>
      </c>
      <c r="I26" s="67" t="e">
        <f t="shared" si="7"/>
        <v>#DIV/0!</v>
      </c>
      <c r="J26" s="67" t="e">
        <f t="shared" si="8"/>
        <v>#DIV/0!</v>
      </c>
      <c r="K26" s="67" t="e">
        <f t="shared" si="9"/>
        <v>#DIV/0!</v>
      </c>
      <c r="L26" s="67" t="e">
        <f t="shared" si="10"/>
        <v>#DIV/0!</v>
      </c>
      <c r="M26" s="67" t="e">
        <f t="shared" si="11"/>
        <v>#DIV/0!</v>
      </c>
      <c r="N26" s="67" t="e">
        <f t="shared" si="12"/>
        <v>#DIV/0!</v>
      </c>
      <c r="O26" s="68" t="e">
        <f t="shared" si="13"/>
        <v>#DIV/0!</v>
      </c>
      <c r="P26" s="299"/>
      <c r="Q26" s="51"/>
      <c r="R26" s="30">
        <f t="shared" si="14"/>
        <v>0</v>
      </c>
      <c r="S26" s="78" t="e">
        <f t="shared" si="15"/>
        <v>#DIV/0!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 t="e">
        <f t="shared" si="2"/>
        <v>#DIV/0!</v>
      </c>
      <c r="E27" s="67" t="e">
        <f t="shared" si="3"/>
        <v>#DIV/0!</v>
      </c>
      <c r="F27" s="67" t="e">
        <f t="shared" si="4"/>
        <v>#DIV/0!</v>
      </c>
      <c r="G27" s="67" t="e">
        <f t="shared" si="5"/>
        <v>#DIV/0!</v>
      </c>
      <c r="H27" s="67" t="e">
        <f t="shared" si="6"/>
        <v>#DIV/0!</v>
      </c>
      <c r="I27" s="67" t="e">
        <f t="shared" si="7"/>
        <v>#DIV/0!</v>
      </c>
      <c r="J27" s="67" t="e">
        <f t="shared" si="8"/>
        <v>#DIV/0!</v>
      </c>
      <c r="K27" s="67" t="e">
        <f t="shared" si="9"/>
        <v>#DIV/0!</v>
      </c>
      <c r="L27" s="67" t="e">
        <f t="shared" si="10"/>
        <v>#DIV/0!</v>
      </c>
      <c r="M27" s="67" t="e">
        <f t="shared" si="11"/>
        <v>#DIV/0!</v>
      </c>
      <c r="N27" s="67" t="e">
        <f t="shared" si="12"/>
        <v>#DIV/0!</v>
      </c>
      <c r="O27" s="68" t="e">
        <f t="shared" si="13"/>
        <v>#DIV/0!</v>
      </c>
      <c r="P27" s="299"/>
      <c r="Q27" s="51"/>
      <c r="R27" s="30">
        <f t="shared" si="14"/>
        <v>0</v>
      </c>
      <c r="S27" s="78" t="e">
        <f t="shared" si="15"/>
        <v>#DIV/0!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 t="e">
        <f t="shared" si="2"/>
        <v>#DIV/0!</v>
      </c>
      <c r="E28" s="67" t="e">
        <f t="shared" si="3"/>
        <v>#DIV/0!</v>
      </c>
      <c r="F28" s="67" t="e">
        <f t="shared" si="4"/>
        <v>#DIV/0!</v>
      </c>
      <c r="G28" s="67" t="e">
        <f t="shared" si="5"/>
        <v>#DIV/0!</v>
      </c>
      <c r="H28" s="67" t="e">
        <f t="shared" si="6"/>
        <v>#DIV/0!</v>
      </c>
      <c r="I28" s="67" t="e">
        <f t="shared" si="7"/>
        <v>#DIV/0!</v>
      </c>
      <c r="J28" s="67" t="e">
        <f t="shared" si="8"/>
        <v>#DIV/0!</v>
      </c>
      <c r="K28" s="67" t="e">
        <f t="shared" si="9"/>
        <v>#DIV/0!</v>
      </c>
      <c r="L28" s="67" t="e">
        <f t="shared" si="10"/>
        <v>#DIV/0!</v>
      </c>
      <c r="M28" s="67" t="e">
        <f t="shared" si="11"/>
        <v>#DIV/0!</v>
      </c>
      <c r="N28" s="67" t="e">
        <f t="shared" si="12"/>
        <v>#DIV/0!</v>
      </c>
      <c r="O28" s="68" t="e">
        <f t="shared" si="13"/>
        <v>#DIV/0!</v>
      </c>
      <c r="P28" s="299"/>
      <c r="Q28" s="51"/>
      <c r="R28" s="30">
        <f t="shared" si="14"/>
        <v>0</v>
      </c>
      <c r="S28" s="78" t="e">
        <f t="shared" si="15"/>
        <v>#DIV/0!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 t="e">
        <f t="shared" si="2"/>
        <v>#DIV/0!</v>
      </c>
      <c r="E29" s="67" t="e">
        <f t="shared" si="3"/>
        <v>#DIV/0!</v>
      </c>
      <c r="F29" s="67" t="e">
        <f t="shared" si="4"/>
        <v>#DIV/0!</v>
      </c>
      <c r="G29" s="67" t="e">
        <f t="shared" si="5"/>
        <v>#DIV/0!</v>
      </c>
      <c r="H29" s="67" t="e">
        <f t="shared" si="6"/>
        <v>#DIV/0!</v>
      </c>
      <c r="I29" s="67" t="e">
        <f t="shared" si="7"/>
        <v>#DIV/0!</v>
      </c>
      <c r="J29" s="67" t="e">
        <f t="shared" si="8"/>
        <v>#DIV/0!</v>
      </c>
      <c r="K29" s="67" t="e">
        <f t="shared" si="9"/>
        <v>#DIV/0!</v>
      </c>
      <c r="L29" s="67" t="e">
        <f t="shared" si="10"/>
        <v>#DIV/0!</v>
      </c>
      <c r="M29" s="67" t="e">
        <f t="shared" si="11"/>
        <v>#DIV/0!</v>
      </c>
      <c r="N29" s="67" t="e">
        <f t="shared" si="12"/>
        <v>#DIV/0!</v>
      </c>
      <c r="O29" s="68" t="e">
        <f t="shared" si="13"/>
        <v>#DIV/0!</v>
      </c>
      <c r="P29" s="299"/>
      <c r="Q29" s="51"/>
      <c r="R29" s="30">
        <f t="shared" si="14"/>
        <v>0</v>
      </c>
      <c r="S29" s="78" t="e">
        <f t="shared" si="15"/>
        <v>#DIV/0!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 t="e">
        <f t="shared" si="2"/>
        <v>#DIV/0!</v>
      </c>
      <c r="E30" s="67" t="e">
        <f t="shared" si="3"/>
        <v>#DIV/0!</v>
      </c>
      <c r="F30" s="67" t="e">
        <f t="shared" si="4"/>
        <v>#DIV/0!</v>
      </c>
      <c r="G30" s="67" t="e">
        <f t="shared" si="5"/>
        <v>#DIV/0!</v>
      </c>
      <c r="H30" s="67" t="e">
        <f t="shared" si="6"/>
        <v>#DIV/0!</v>
      </c>
      <c r="I30" s="67" t="e">
        <f t="shared" si="7"/>
        <v>#DIV/0!</v>
      </c>
      <c r="J30" s="67" t="e">
        <f t="shared" si="8"/>
        <v>#DIV/0!</v>
      </c>
      <c r="K30" s="67" t="e">
        <f t="shared" si="9"/>
        <v>#DIV/0!</v>
      </c>
      <c r="L30" s="67" t="e">
        <f t="shared" si="10"/>
        <v>#DIV/0!</v>
      </c>
      <c r="M30" s="67" t="e">
        <f t="shared" si="11"/>
        <v>#DIV/0!</v>
      </c>
      <c r="N30" s="67" t="e">
        <f t="shared" si="12"/>
        <v>#DIV/0!</v>
      </c>
      <c r="O30" s="68" t="e">
        <f t="shared" si="13"/>
        <v>#DIV/0!</v>
      </c>
      <c r="P30" s="299"/>
      <c r="Q30" s="51"/>
      <c r="R30" s="30">
        <f t="shared" si="14"/>
        <v>0</v>
      </c>
      <c r="S30" s="78" t="e">
        <f t="shared" si="15"/>
        <v>#DIV/0!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 t="e">
        <f t="shared" si="2"/>
        <v>#DIV/0!</v>
      </c>
      <c r="E31" s="67" t="e">
        <f t="shared" si="3"/>
        <v>#DIV/0!</v>
      </c>
      <c r="F31" s="67" t="e">
        <f t="shared" si="4"/>
        <v>#DIV/0!</v>
      </c>
      <c r="G31" s="67" t="e">
        <f t="shared" si="5"/>
        <v>#DIV/0!</v>
      </c>
      <c r="H31" s="67" t="e">
        <f t="shared" si="6"/>
        <v>#DIV/0!</v>
      </c>
      <c r="I31" s="67" t="e">
        <f t="shared" si="7"/>
        <v>#DIV/0!</v>
      </c>
      <c r="J31" s="67" t="e">
        <f t="shared" si="8"/>
        <v>#DIV/0!</v>
      </c>
      <c r="K31" s="67" t="e">
        <f t="shared" si="9"/>
        <v>#DIV/0!</v>
      </c>
      <c r="L31" s="67" t="e">
        <f t="shared" si="10"/>
        <v>#DIV/0!</v>
      </c>
      <c r="M31" s="67" t="e">
        <f t="shared" si="11"/>
        <v>#DIV/0!</v>
      </c>
      <c r="N31" s="67" t="e">
        <f t="shared" si="12"/>
        <v>#DIV/0!</v>
      </c>
      <c r="O31" s="68" t="e">
        <f t="shared" si="13"/>
        <v>#DIV/0!</v>
      </c>
      <c r="P31" s="299"/>
      <c r="Q31" s="51"/>
      <c r="R31" s="30">
        <f t="shared" si="14"/>
        <v>0</v>
      </c>
      <c r="S31" s="78" t="e">
        <f t="shared" si="15"/>
        <v>#DIV/0!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 t="e">
        <f t="shared" si="2"/>
        <v>#DIV/0!</v>
      </c>
      <c r="E32" s="67" t="e">
        <f t="shared" si="3"/>
        <v>#DIV/0!</v>
      </c>
      <c r="F32" s="67" t="e">
        <f t="shared" si="4"/>
        <v>#DIV/0!</v>
      </c>
      <c r="G32" s="67" t="e">
        <f t="shared" si="5"/>
        <v>#DIV/0!</v>
      </c>
      <c r="H32" s="67" t="e">
        <f t="shared" si="6"/>
        <v>#DIV/0!</v>
      </c>
      <c r="I32" s="67" t="e">
        <f t="shared" si="7"/>
        <v>#DIV/0!</v>
      </c>
      <c r="J32" s="67" t="e">
        <f t="shared" si="8"/>
        <v>#DIV/0!</v>
      </c>
      <c r="K32" s="67" t="e">
        <f t="shared" si="9"/>
        <v>#DIV/0!</v>
      </c>
      <c r="L32" s="67" t="e">
        <f t="shared" si="10"/>
        <v>#DIV/0!</v>
      </c>
      <c r="M32" s="67" t="e">
        <f t="shared" si="11"/>
        <v>#DIV/0!</v>
      </c>
      <c r="N32" s="67" t="e">
        <f t="shared" si="12"/>
        <v>#DIV/0!</v>
      </c>
      <c r="O32" s="68" t="e">
        <f t="shared" si="13"/>
        <v>#DIV/0!</v>
      </c>
      <c r="P32" s="299"/>
      <c r="Q32" s="51"/>
      <c r="R32" s="30">
        <f t="shared" si="14"/>
        <v>0</v>
      </c>
      <c r="S32" s="78" t="e">
        <f t="shared" si="15"/>
        <v>#DIV/0!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 t="e">
        <f t="shared" si="2"/>
        <v>#DIV/0!</v>
      </c>
      <c r="E33" s="69" t="e">
        <f t="shared" si="3"/>
        <v>#DIV/0!</v>
      </c>
      <c r="F33" s="69" t="e">
        <f t="shared" si="4"/>
        <v>#DIV/0!</v>
      </c>
      <c r="G33" s="69" t="e">
        <f t="shared" si="5"/>
        <v>#DIV/0!</v>
      </c>
      <c r="H33" s="69" t="e">
        <f t="shared" si="6"/>
        <v>#DIV/0!</v>
      </c>
      <c r="I33" s="69" t="e">
        <f t="shared" si="7"/>
        <v>#DIV/0!</v>
      </c>
      <c r="J33" s="69" t="e">
        <f t="shared" si="8"/>
        <v>#DIV/0!</v>
      </c>
      <c r="K33" s="69" t="e">
        <f t="shared" si="9"/>
        <v>#DIV/0!</v>
      </c>
      <c r="L33" s="69" t="e">
        <f t="shared" si="10"/>
        <v>#DIV/0!</v>
      </c>
      <c r="M33" s="69" t="e">
        <f t="shared" si="11"/>
        <v>#DIV/0!</v>
      </c>
      <c r="N33" s="69" t="e">
        <f t="shared" si="12"/>
        <v>#DIV/0!</v>
      </c>
      <c r="O33" s="70" t="e">
        <f t="shared" si="13"/>
        <v>#DIV/0!</v>
      </c>
      <c r="P33" s="299"/>
      <c r="Q33" s="53"/>
      <c r="R33" s="54">
        <f t="shared" si="14"/>
        <v>0</v>
      </c>
      <c r="S33" s="106" t="e">
        <f t="shared" si="15"/>
        <v>#DIV/0!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 t="e">
        <f>Q40</f>
        <v>#DIV/0!</v>
      </c>
      <c r="F35" s="920"/>
      <c r="G35" s="3" t="s">
        <v>33</v>
      </c>
      <c r="H35" s="183" t="s">
        <v>280</v>
      </c>
      <c r="I35" s="606">
        <f>R18</f>
        <v>0.9</v>
      </c>
      <c r="J35" s="3" t="s">
        <v>281</v>
      </c>
      <c r="K35" s="606">
        <f>R19</f>
        <v>0.6</v>
      </c>
      <c r="L35" s="3" t="s">
        <v>282</v>
      </c>
      <c r="M35" s="606">
        <f>R20</f>
        <v>0.35</v>
      </c>
      <c r="N35" s="3" t="s">
        <v>283</v>
      </c>
      <c r="O35" s="83" t="s">
        <v>284</v>
      </c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 t="e">
        <f>Q23</f>
        <v>#DIV/0!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0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11</v>
      </c>
      <c r="M40" s="5"/>
      <c r="N40" s="5"/>
      <c r="O40" s="83"/>
      <c r="P40" s="299"/>
      <c r="Q40" s="102" t="e">
        <f>(Q38/Q39)/10</f>
        <v>#DIV/0!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9" ht="19.5" customHeight="1">
      <c r="C46" s="79"/>
      <c r="D46" s="80"/>
      <c r="E46" s="80"/>
      <c r="F46" s="81"/>
      <c r="G46" s="861" t="str">
        <f>G2</f>
        <v>PROJETO  DE  DRENAGEM</v>
      </c>
      <c r="H46" s="862"/>
      <c r="I46" s="862"/>
      <c r="J46" s="862"/>
      <c r="K46" s="862"/>
      <c r="L46" s="862"/>
      <c r="M46" s="862"/>
      <c r="N46" s="862"/>
      <c r="O46" s="863"/>
      <c r="P46" s="327"/>
      <c r="R46" s="929"/>
      <c r="S46" s="929"/>
    </row>
    <row r="47" spans="3:16" ht="19.5" customHeight="1">
      <c r="C47" s="82"/>
      <c r="D47" s="5"/>
      <c r="E47" s="5"/>
      <c r="F47" s="83"/>
      <c r="G47" s="864" t="str">
        <f>G3</f>
        <v>Rodovia: MG-424</v>
      </c>
      <c r="H47" s="865"/>
      <c r="I47" s="865"/>
      <c r="J47" s="865"/>
      <c r="K47" s="865"/>
      <c r="L47" s="865"/>
      <c r="M47" s="865"/>
      <c r="N47" s="865"/>
      <c r="O47" s="866"/>
      <c r="P47" s="327"/>
    </row>
    <row r="48" spans="3:16" ht="19.5" customHeight="1">
      <c r="C48" s="82"/>
      <c r="D48" s="5"/>
      <c r="E48" s="5"/>
      <c r="F48" s="83"/>
      <c r="G48" s="864" t="str">
        <f>G4</f>
        <v>Trecho: Entroncamento MG-010  -  Sete Lagoas</v>
      </c>
      <c r="H48" s="865"/>
      <c r="I48" s="865"/>
      <c r="J48" s="865"/>
      <c r="K48" s="865"/>
      <c r="L48" s="865"/>
      <c r="M48" s="865"/>
      <c r="N48" s="865"/>
      <c r="O48" s="866"/>
      <c r="P48" s="327"/>
    </row>
    <row r="49" spans="3:16" ht="19.5" customHeight="1">
      <c r="C49" s="84"/>
      <c r="D49" s="35"/>
      <c r="E49" s="35"/>
      <c r="F49" s="85"/>
      <c r="G49" s="908" t="e">
        <f>G5</f>
        <v>#REF!</v>
      </c>
      <c r="H49" s="909"/>
      <c r="I49" s="909"/>
      <c r="J49" s="909"/>
      <c r="K49" s="909"/>
      <c r="L49" s="909"/>
      <c r="M49" s="909"/>
      <c r="N49" s="909"/>
      <c r="O49" s="910"/>
      <c r="P49" s="327"/>
    </row>
    <row r="50" spans="3:16" ht="12.75">
      <c r="C50" s="8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3"/>
      <c r="P50" s="327"/>
    </row>
    <row r="51" spans="2:16" s="75" customFormat="1" ht="21" customHeight="1">
      <c r="B51" s="74"/>
      <c r="C51" s="86"/>
      <c r="D51" s="828" t="str">
        <f>D7</f>
        <v>COMPRIMENTO  CRÍTICO DE SARJETA DE CORTE</v>
      </c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90"/>
      <c r="P51" s="328"/>
    </row>
    <row r="52" spans="2:16" s="75" customFormat="1" ht="12.75" customHeight="1">
      <c r="B52" s="74"/>
      <c r="C52" s="103"/>
      <c r="D52" s="825" t="s">
        <v>52</v>
      </c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90"/>
      <c r="P52" s="328"/>
    </row>
    <row r="53" spans="3:16" ht="18.75" customHeight="1">
      <c r="C53" s="8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3"/>
      <c r="P53" s="327"/>
    </row>
    <row r="54" spans="3:16" ht="12.75">
      <c r="C54" s="82"/>
      <c r="D54" s="823" t="str">
        <f>D10</f>
        <v>TIPO:  SCC - 70/15</v>
      </c>
      <c r="E54" s="823"/>
      <c r="F54" s="823"/>
      <c r="G54" s="823"/>
      <c r="H54" s="823"/>
      <c r="I54" s="823"/>
      <c r="J54" s="823"/>
      <c r="K54" s="823"/>
      <c r="L54" s="823"/>
      <c r="M54" s="823"/>
      <c r="N54" s="5"/>
      <c r="O54" s="83"/>
      <c r="P54" s="327"/>
    </row>
    <row r="55" spans="3:16" ht="12.75">
      <c r="C55" s="82"/>
      <c r="M55" s="5"/>
      <c r="N55" s="5"/>
      <c r="O55" s="83"/>
      <c r="P55" s="327"/>
    </row>
    <row r="56" spans="3:16" ht="12.75">
      <c r="C56" s="82"/>
      <c r="D56" s="921" t="s">
        <v>24</v>
      </c>
      <c r="E56" s="921"/>
      <c r="F56" s="921"/>
      <c r="G56" s="921"/>
      <c r="H56" s="921"/>
      <c r="I56" s="921"/>
      <c r="J56" s="921"/>
      <c r="K56" s="921"/>
      <c r="L56" s="921"/>
      <c r="M56" s="921"/>
      <c r="N56" s="5"/>
      <c r="O56" s="83"/>
      <c r="P56" s="327"/>
    </row>
    <row r="57" spans="3:16" ht="15" customHeight="1">
      <c r="C57" s="87"/>
      <c r="D57" s="13"/>
      <c r="E57" s="13"/>
      <c r="F57" s="13"/>
      <c r="G57" s="13"/>
      <c r="H57" s="13"/>
      <c r="I57" s="13"/>
      <c r="O57" s="83"/>
      <c r="P57" s="327"/>
    </row>
    <row r="58" spans="3:20" ht="15" customHeight="1">
      <c r="C58" s="87" t="s">
        <v>4</v>
      </c>
      <c r="D58" s="91">
        <f>D14</f>
        <v>0</v>
      </c>
      <c r="E58" s="5" t="s">
        <v>8</v>
      </c>
      <c r="F58" s="12"/>
      <c r="G58" s="12"/>
      <c r="H58" s="12"/>
      <c r="I58" s="12"/>
      <c r="J58" s="810" t="s">
        <v>51</v>
      </c>
      <c r="K58" s="810"/>
      <c r="L58" s="922" t="str">
        <f>'[1]BASE'!$L$14</f>
        <v>Ouro Preto - MG</v>
      </c>
      <c r="M58" s="922"/>
      <c r="N58" s="922"/>
      <c r="O58" s="83"/>
      <c r="P58" s="327"/>
      <c r="S58" s="932" t="s">
        <v>37</v>
      </c>
      <c r="T58" s="932"/>
    </row>
    <row r="59" spans="3:16" ht="15" customHeight="1" thickBot="1">
      <c r="C59" s="87" t="s">
        <v>5</v>
      </c>
      <c r="D59" s="91">
        <f>D15</f>
        <v>0</v>
      </c>
      <c r="E59" s="5" t="s">
        <v>7</v>
      </c>
      <c r="F59" s="8"/>
      <c r="G59" s="8"/>
      <c r="H59" s="8"/>
      <c r="I59" s="8"/>
      <c r="J59" s="6" t="s">
        <v>18</v>
      </c>
      <c r="K59" s="215">
        <f>'[1]BASE'!$K$15</f>
        <v>10</v>
      </c>
      <c r="L59" s="5" t="s">
        <v>12</v>
      </c>
      <c r="M59" s="5"/>
      <c r="N59" s="5"/>
      <c r="O59" s="83"/>
      <c r="P59" s="327"/>
    </row>
    <row r="60" spans="3:23" ht="15" customHeight="1">
      <c r="C60" s="87" t="s">
        <v>6</v>
      </c>
      <c r="D60" s="91" t="e">
        <f>D58/D59</f>
        <v>#DIV/0!</v>
      </c>
      <c r="E60" s="8" t="s">
        <v>7</v>
      </c>
      <c r="F60" s="92" t="e">
        <f>POWER($D$16,2/3)</f>
        <v>#DIV/0!</v>
      </c>
      <c r="G60" s="8"/>
      <c r="H60" s="8"/>
      <c r="I60" s="8"/>
      <c r="J60" s="6" t="s">
        <v>17</v>
      </c>
      <c r="K60" s="215">
        <f>'[1]BASE'!$K$16</f>
        <v>5</v>
      </c>
      <c r="L60" s="5" t="s">
        <v>13</v>
      </c>
      <c r="M60" s="5"/>
      <c r="N60" s="5"/>
      <c r="O60" s="83"/>
      <c r="P60" s="327"/>
      <c r="Q60" s="39" t="s">
        <v>15</v>
      </c>
      <c r="R60" s="306" t="s">
        <v>2</v>
      </c>
      <c r="S60" s="306" t="s">
        <v>16</v>
      </c>
      <c r="T60" s="41"/>
      <c r="U60" s="42"/>
      <c r="V60" s="42"/>
      <c r="W60" s="43"/>
    </row>
    <row r="61" spans="3:23" ht="15" customHeight="1">
      <c r="C61" s="87" t="s">
        <v>9</v>
      </c>
      <c r="D61" s="91">
        <f>'[1]BASE'!$D$17</f>
        <v>0.015</v>
      </c>
      <c r="E61" s="5"/>
      <c r="F61" s="5"/>
      <c r="G61" s="5"/>
      <c r="H61" s="5"/>
      <c r="I61" s="5"/>
      <c r="J61" s="6" t="s">
        <v>19</v>
      </c>
      <c r="K61" s="307">
        <f>'[1]BASE'!$K$17</f>
        <v>151.55</v>
      </c>
      <c r="L61" s="8" t="s">
        <v>14</v>
      </c>
      <c r="M61" s="5"/>
      <c r="N61" s="5"/>
      <c r="O61" s="83"/>
      <c r="P61" s="327"/>
      <c r="Q61" s="329">
        <f>R61/S61</f>
        <v>1</v>
      </c>
      <c r="R61" s="330">
        <f>R17</f>
        <v>1</v>
      </c>
      <c r="S61" s="330">
        <f>S17</f>
        <v>1</v>
      </c>
      <c r="T61" s="32"/>
      <c r="U61" s="4"/>
      <c r="V61" s="35"/>
      <c r="W61" s="50"/>
    </row>
    <row r="62" spans="2:23" ht="12.75">
      <c r="B62" s="60"/>
      <c r="C62" s="184" t="s">
        <v>97</v>
      </c>
      <c r="D62" s="186" t="e">
        <f aca="true" t="shared" si="18" ref="D62:O62">D63*$D$14</f>
        <v>#DIV/0!</v>
      </c>
      <c r="E62" s="186" t="e">
        <f t="shared" si="18"/>
        <v>#DIV/0!</v>
      </c>
      <c r="F62" s="186" t="e">
        <f t="shared" si="18"/>
        <v>#DIV/0!</v>
      </c>
      <c r="G62" s="186" t="e">
        <f t="shared" si="18"/>
        <v>#DIV/0!</v>
      </c>
      <c r="H62" s="186" t="e">
        <f t="shared" si="18"/>
        <v>#DIV/0!</v>
      </c>
      <c r="I62" s="186" t="e">
        <f t="shared" si="18"/>
        <v>#DIV/0!</v>
      </c>
      <c r="J62" s="186" t="e">
        <f t="shared" si="18"/>
        <v>#DIV/0!</v>
      </c>
      <c r="K62" s="186" t="e">
        <f t="shared" si="18"/>
        <v>#DIV/0!</v>
      </c>
      <c r="L62" s="186" t="e">
        <f t="shared" si="18"/>
        <v>#DIV/0!</v>
      </c>
      <c r="M62" s="186" t="e">
        <f t="shared" si="18"/>
        <v>#DIV/0!</v>
      </c>
      <c r="N62" s="186" t="e">
        <f t="shared" si="18"/>
        <v>#DIV/0!</v>
      </c>
      <c r="O62" s="187" t="e">
        <f t="shared" si="18"/>
        <v>#DIV/0!</v>
      </c>
      <c r="P62" s="331"/>
      <c r="Q62" s="46" t="s">
        <v>139</v>
      </c>
      <c r="R62" s="311">
        <f>R18</f>
        <v>0.9</v>
      </c>
      <c r="S62" s="31"/>
      <c r="T62" s="38" t="s">
        <v>29</v>
      </c>
      <c r="U62" s="311">
        <v>22</v>
      </c>
      <c r="V62" s="5"/>
      <c r="W62" s="45"/>
    </row>
    <row r="63" spans="2:23" ht="12.75">
      <c r="B63" s="15"/>
      <c r="C63" s="185" t="s">
        <v>16</v>
      </c>
      <c r="D63" s="188" t="e">
        <f aca="true" t="shared" si="19" ref="D63:O63">($F$16/$D$17)*POWER(D66/100,1/2)</f>
        <v>#DIV/0!</v>
      </c>
      <c r="E63" s="188" t="e">
        <f t="shared" si="19"/>
        <v>#DIV/0!</v>
      </c>
      <c r="F63" s="188" t="e">
        <f t="shared" si="19"/>
        <v>#DIV/0!</v>
      </c>
      <c r="G63" s="188" t="e">
        <f t="shared" si="19"/>
        <v>#DIV/0!</v>
      </c>
      <c r="H63" s="188" t="e">
        <f t="shared" si="19"/>
        <v>#DIV/0!</v>
      </c>
      <c r="I63" s="188" t="e">
        <f t="shared" si="19"/>
        <v>#DIV/0!</v>
      </c>
      <c r="J63" s="188" t="e">
        <f t="shared" si="19"/>
        <v>#DIV/0!</v>
      </c>
      <c r="K63" s="188" t="e">
        <f t="shared" si="19"/>
        <v>#DIV/0!</v>
      </c>
      <c r="L63" s="188" t="e">
        <f t="shared" si="19"/>
        <v>#DIV/0!</v>
      </c>
      <c r="M63" s="188" t="e">
        <f t="shared" si="19"/>
        <v>#DIV/0!</v>
      </c>
      <c r="N63" s="188" t="e">
        <f t="shared" si="19"/>
        <v>#DIV/0!</v>
      </c>
      <c r="O63" s="189" t="e">
        <f t="shared" si="19"/>
        <v>#DIV/0!</v>
      </c>
      <c r="P63" s="332">
        <v>0.4</v>
      </c>
      <c r="Q63" s="46" t="s">
        <v>140</v>
      </c>
      <c r="R63" s="311">
        <f>R19</f>
        <v>0.6</v>
      </c>
      <c r="S63" s="31"/>
      <c r="T63" s="38" t="s">
        <v>43</v>
      </c>
      <c r="U63" s="333">
        <f>U19</f>
        <v>0</v>
      </c>
      <c r="V63" s="314"/>
      <c r="W63" s="315"/>
    </row>
    <row r="64" spans="2:23" ht="12.75">
      <c r="B64" s="22"/>
      <c r="C64" s="23" t="s">
        <v>0</v>
      </c>
      <c r="D64" s="830" t="s">
        <v>20</v>
      </c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2"/>
      <c r="P64" s="334"/>
      <c r="Q64" s="46" t="s">
        <v>141</v>
      </c>
      <c r="R64" s="311">
        <f>R20</f>
        <v>0.35</v>
      </c>
      <c r="S64" s="31"/>
      <c r="T64" s="38" t="s">
        <v>44</v>
      </c>
      <c r="U64" s="311">
        <f>U20</f>
        <v>3</v>
      </c>
      <c r="V64" s="5"/>
      <c r="W64" s="315"/>
    </row>
    <row r="65" spans="2:23" ht="12.75">
      <c r="B65" s="6"/>
      <c r="C65" s="24" t="s">
        <v>46</v>
      </c>
      <c r="D65" s="915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7"/>
      <c r="P65" s="327"/>
      <c r="Q65" s="317"/>
      <c r="R65" s="35"/>
      <c r="S65" s="35"/>
      <c r="T65" s="35"/>
      <c r="U65" s="35"/>
      <c r="V65" s="35"/>
      <c r="W65" s="318"/>
    </row>
    <row r="66" spans="2:23" ht="12.75">
      <c r="B66" s="7"/>
      <c r="C66" s="27" t="s">
        <v>47</v>
      </c>
      <c r="D66" s="918">
        <f aca="true" t="shared" si="20" ref="D66:O66">D22</f>
        <v>0.25</v>
      </c>
      <c r="E66" s="911">
        <f t="shared" si="20"/>
        <v>0.5</v>
      </c>
      <c r="F66" s="911">
        <f t="shared" si="20"/>
        <v>1</v>
      </c>
      <c r="G66" s="911">
        <f t="shared" si="20"/>
        <v>1.5</v>
      </c>
      <c r="H66" s="911">
        <f t="shared" si="20"/>
        <v>2</v>
      </c>
      <c r="I66" s="911">
        <f t="shared" si="20"/>
        <v>2.5</v>
      </c>
      <c r="J66" s="911">
        <f t="shared" si="20"/>
        <v>3</v>
      </c>
      <c r="K66" s="911">
        <f t="shared" si="20"/>
        <v>3.5</v>
      </c>
      <c r="L66" s="911">
        <f t="shared" si="20"/>
        <v>4</v>
      </c>
      <c r="M66" s="911">
        <f t="shared" si="20"/>
        <v>5</v>
      </c>
      <c r="N66" s="911">
        <f t="shared" si="20"/>
        <v>6</v>
      </c>
      <c r="O66" s="913">
        <f t="shared" si="20"/>
        <v>7</v>
      </c>
      <c r="P66" s="327"/>
      <c r="Q66" s="47" t="s">
        <v>22</v>
      </c>
      <c r="R66" s="28" t="s">
        <v>21</v>
      </c>
      <c r="S66" s="28" t="s">
        <v>23</v>
      </c>
      <c r="T66" s="320"/>
      <c r="U66" s="18"/>
      <c r="V66" s="18" t="s">
        <v>3</v>
      </c>
      <c r="W66" s="335" t="s">
        <v>35</v>
      </c>
    </row>
    <row r="67" spans="2:23" ht="12.75">
      <c r="B67" s="22"/>
      <c r="C67" s="25" t="s">
        <v>1</v>
      </c>
      <c r="D67" s="919"/>
      <c r="E67" s="912"/>
      <c r="F67" s="912"/>
      <c r="G67" s="912"/>
      <c r="H67" s="912"/>
      <c r="I67" s="912"/>
      <c r="J67" s="912"/>
      <c r="K67" s="912"/>
      <c r="L67" s="912"/>
      <c r="M67" s="912"/>
      <c r="N67" s="912"/>
      <c r="O67" s="914"/>
      <c r="P67" s="327"/>
      <c r="Q67" s="49" t="e">
        <f>($D$14*$F$16)/$D$17</f>
        <v>#DIV/0!</v>
      </c>
      <c r="R67" s="30"/>
      <c r="S67" s="26"/>
      <c r="T67" s="36"/>
      <c r="U67" s="4"/>
      <c r="V67" s="291" t="s">
        <v>36</v>
      </c>
      <c r="W67" s="322"/>
    </row>
    <row r="68" spans="2:23" ht="18" customHeight="1">
      <c r="B68" s="22"/>
      <c r="C68" s="64">
        <f aca="true" t="shared" si="21" ref="C68:C77">C24</f>
        <v>1</v>
      </c>
      <c r="D68" s="71" t="e">
        <f aca="true" t="shared" si="22" ref="D68:D77">(($Q$23/R68)/10)*SQRT($D$22)</f>
        <v>#DIV/0!</v>
      </c>
      <c r="E68" s="65" t="e">
        <f aca="true" t="shared" si="23" ref="E68:E77">(($Q$23/R68)/10)*SQRT($E$22)</f>
        <v>#DIV/0!</v>
      </c>
      <c r="F68" s="65" t="e">
        <f aca="true" t="shared" si="24" ref="F68:F77">(($Q$23/R68)/10)*SQRT($F$22)</f>
        <v>#DIV/0!</v>
      </c>
      <c r="G68" s="65" t="e">
        <f aca="true" t="shared" si="25" ref="G68:G77">(($Q$23/R68)/10)*SQRT($G$22)</f>
        <v>#DIV/0!</v>
      </c>
      <c r="H68" s="65" t="e">
        <f aca="true" t="shared" si="26" ref="H68:H77">(($Q$23/R68)/10)*SQRT($H$22)</f>
        <v>#DIV/0!</v>
      </c>
      <c r="I68" s="65" t="e">
        <f aca="true" t="shared" si="27" ref="I68:I77">(($Q$23/R68)/10)*SQRT($I$22)</f>
        <v>#DIV/0!</v>
      </c>
      <c r="J68" s="65" t="e">
        <f aca="true" t="shared" si="28" ref="J68:J77">(($Q$23/R68)/10)*SQRT($J$22)</f>
        <v>#DIV/0!</v>
      </c>
      <c r="K68" s="65" t="e">
        <f aca="true" t="shared" si="29" ref="K68:K77">(($Q$23/R68)/10)*SQRT($K$22)</f>
        <v>#DIV/0!</v>
      </c>
      <c r="L68" s="65" t="e">
        <f aca="true" t="shared" si="30" ref="L68:L77">(($Q$23/R68)/10)*SQRT($L$22)</f>
        <v>#DIV/0!</v>
      </c>
      <c r="M68" s="65" t="e">
        <f aca="true" t="shared" si="31" ref="M68:M77">(($Q$23/R68)/10)*SQRT($M$22)</f>
        <v>#DIV/0!</v>
      </c>
      <c r="N68" s="65" t="e">
        <f aca="true" t="shared" si="32" ref="N68:N77">(($Q$23/R68)/10)*SQRT($N$22)</f>
        <v>#DIV/0!</v>
      </c>
      <c r="O68" s="66" t="e">
        <f aca="true" t="shared" si="33" ref="O68:O77">(($Q$23/R68)/10)*SQRT($O$22)</f>
        <v>#DIV/0!</v>
      </c>
      <c r="P68" s="327"/>
      <c r="Q68" s="51"/>
      <c r="R68" s="29">
        <f aca="true" t="shared" si="34" ref="R68:R77">((0.278*$K$17*POWER(10,-6)*(($R$18*$U$62)+($R$19*W68)+($R$20*$U$20))))</f>
        <v>0</v>
      </c>
      <c r="S68" s="33" t="e">
        <f aca="true" t="shared" si="35" ref="S68:S77">($Q$23/R68)/10</f>
        <v>#DIV/0!</v>
      </c>
      <c r="T68" s="3"/>
      <c r="U68" s="10"/>
      <c r="V68" s="52">
        <f aca="true" t="shared" si="36" ref="V68:V77">C68</f>
        <v>1</v>
      </c>
      <c r="W68" s="336">
        <f aca="true" t="shared" si="37" ref="W68:W77">$Q$17*V68</f>
        <v>1</v>
      </c>
    </row>
    <row r="69" spans="2:23" ht="18" customHeight="1">
      <c r="B69" s="15"/>
      <c r="C69" s="64">
        <f t="shared" si="21"/>
        <v>2</v>
      </c>
      <c r="D69" s="71" t="e">
        <f t="shared" si="22"/>
        <v>#DIV/0!</v>
      </c>
      <c r="E69" s="67" t="e">
        <f t="shared" si="23"/>
        <v>#DIV/0!</v>
      </c>
      <c r="F69" s="67" t="e">
        <f t="shared" si="24"/>
        <v>#DIV/0!</v>
      </c>
      <c r="G69" s="67" t="e">
        <f t="shared" si="25"/>
        <v>#DIV/0!</v>
      </c>
      <c r="H69" s="67" t="e">
        <f t="shared" si="26"/>
        <v>#DIV/0!</v>
      </c>
      <c r="I69" s="67" t="e">
        <f t="shared" si="27"/>
        <v>#DIV/0!</v>
      </c>
      <c r="J69" s="67" t="e">
        <f t="shared" si="28"/>
        <v>#DIV/0!</v>
      </c>
      <c r="K69" s="67" t="e">
        <f t="shared" si="29"/>
        <v>#DIV/0!</v>
      </c>
      <c r="L69" s="67" t="e">
        <f t="shared" si="30"/>
        <v>#DIV/0!</v>
      </c>
      <c r="M69" s="67" t="e">
        <f t="shared" si="31"/>
        <v>#DIV/0!</v>
      </c>
      <c r="N69" s="67" t="e">
        <f t="shared" si="32"/>
        <v>#DIV/0!</v>
      </c>
      <c r="O69" s="68" t="e">
        <f t="shared" si="33"/>
        <v>#DIV/0!</v>
      </c>
      <c r="P69" s="327"/>
      <c r="Q69" s="51"/>
      <c r="R69" s="30">
        <f t="shared" si="34"/>
        <v>0</v>
      </c>
      <c r="S69" s="26" t="e">
        <f t="shared" si="35"/>
        <v>#DIV/0!</v>
      </c>
      <c r="T69" s="3"/>
      <c r="U69" s="10"/>
      <c r="V69" s="52">
        <f t="shared" si="36"/>
        <v>2</v>
      </c>
      <c r="W69" s="336">
        <f t="shared" si="37"/>
        <v>2</v>
      </c>
    </row>
    <row r="70" spans="2:23" ht="18" customHeight="1">
      <c r="B70" s="14"/>
      <c r="C70" s="64">
        <f t="shared" si="21"/>
        <v>2.5</v>
      </c>
      <c r="D70" s="71" t="e">
        <f t="shared" si="22"/>
        <v>#DIV/0!</v>
      </c>
      <c r="E70" s="67" t="e">
        <f t="shared" si="23"/>
        <v>#DIV/0!</v>
      </c>
      <c r="F70" s="67" t="e">
        <f t="shared" si="24"/>
        <v>#DIV/0!</v>
      </c>
      <c r="G70" s="67" t="e">
        <f t="shared" si="25"/>
        <v>#DIV/0!</v>
      </c>
      <c r="H70" s="67" t="e">
        <f t="shared" si="26"/>
        <v>#DIV/0!</v>
      </c>
      <c r="I70" s="67" t="e">
        <f t="shared" si="27"/>
        <v>#DIV/0!</v>
      </c>
      <c r="J70" s="67" t="e">
        <f t="shared" si="28"/>
        <v>#DIV/0!</v>
      </c>
      <c r="K70" s="67" t="e">
        <f t="shared" si="29"/>
        <v>#DIV/0!</v>
      </c>
      <c r="L70" s="67" t="e">
        <f t="shared" si="30"/>
        <v>#DIV/0!</v>
      </c>
      <c r="M70" s="67" t="e">
        <f t="shared" si="31"/>
        <v>#DIV/0!</v>
      </c>
      <c r="N70" s="67" t="e">
        <f t="shared" si="32"/>
        <v>#DIV/0!</v>
      </c>
      <c r="O70" s="68" t="e">
        <f t="shared" si="33"/>
        <v>#DIV/0!</v>
      </c>
      <c r="P70" s="327"/>
      <c r="Q70" s="51"/>
      <c r="R70" s="30">
        <f t="shared" si="34"/>
        <v>0</v>
      </c>
      <c r="S70" s="26" t="e">
        <f t="shared" si="35"/>
        <v>#DIV/0!</v>
      </c>
      <c r="T70" s="3"/>
      <c r="U70" s="10"/>
      <c r="V70" s="52">
        <f t="shared" si="36"/>
        <v>2.5</v>
      </c>
      <c r="W70" s="336">
        <f t="shared" si="37"/>
        <v>2.5</v>
      </c>
    </row>
    <row r="71" spans="3:23" ht="18" customHeight="1">
      <c r="C71" s="64">
        <f t="shared" si="21"/>
        <v>3</v>
      </c>
      <c r="D71" s="71" t="e">
        <f t="shared" si="22"/>
        <v>#DIV/0!</v>
      </c>
      <c r="E71" s="67" t="e">
        <f t="shared" si="23"/>
        <v>#DIV/0!</v>
      </c>
      <c r="F71" s="67" t="e">
        <f t="shared" si="24"/>
        <v>#DIV/0!</v>
      </c>
      <c r="G71" s="67" t="e">
        <f t="shared" si="25"/>
        <v>#DIV/0!</v>
      </c>
      <c r="H71" s="67" t="e">
        <f t="shared" si="26"/>
        <v>#DIV/0!</v>
      </c>
      <c r="I71" s="67" t="e">
        <f t="shared" si="27"/>
        <v>#DIV/0!</v>
      </c>
      <c r="J71" s="67" t="e">
        <f t="shared" si="28"/>
        <v>#DIV/0!</v>
      </c>
      <c r="K71" s="67" t="e">
        <f t="shared" si="29"/>
        <v>#DIV/0!</v>
      </c>
      <c r="L71" s="67" t="e">
        <f t="shared" si="30"/>
        <v>#DIV/0!</v>
      </c>
      <c r="M71" s="67" t="e">
        <f t="shared" si="31"/>
        <v>#DIV/0!</v>
      </c>
      <c r="N71" s="67" t="e">
        <f t="shared" si="32"/>
        <v>#DIV/0!</v>
      </c>
      <c r="O71" s="68" t="e">
        <f t="shared" si="33"/>
        <v>#DIV/0!</v>
      </c>
      <c r="P71" s="327"/>
      <c r="Q71" s="51"/>
      <c r="R71" s="30">
        <f t="shared" si="34"/>
        <v>0</v>
      </c>
      <c r="S71" s="26" t="e">
        <f t="shared" si="35"/>
        <v>#DIV/0!</v>
      </c>
      <c r="T71" s="3"/>
      <c r="U71" s="10"/>
      <c r="V71" s="52">
        <f t="shared" si="36"/>
        <v>3</v>
      </c>
      <c r="W71" s="336">
        <f t="shared" si="37"/>
        <v>3</v>
      </c>
    </row>
    <row r="72" spans="2:23" ht="18" customHeight="1">
      <c r="B72" s="14"/>
      <c r="C72" s="64">
        <f t="shared" si="21"/>
        <v>3.5</v>
      </c>
      <c r="D72" s="71" t="e">
        <f t="shared" si="22"/>
        <v>#DIV/0!</v>
      </c>
      <c r="E72" s="67" t="e">
        <f t="shared" si="23"/>
        <v>#DIV/0!</v>
      </c>
      <c r="F72" s="67" t="e">
        <f t="shared" si="24"/>
        <v>#DIV/0!</v>
      </c>
      <c r="G72" s="67" t="e">
        <f t="shared" si="25"/>
        <v>#DIV/0!</v>
      </c>
      <c r="H72" s="67" t="e">
        <f t="shared" si="26"/>
        <v>#DIV/0!</v>
      </c>
      <c r="I72" s="67" t="e">
        <f t="shared" si="27"/>
        <v>#DIV/0!</v>
      </c>
      <c r="J72" s="67" t="e">
        <f t="shared" si="28"/>
        <v>#DIV/0!</v>
      </c>
      <c r="K72" s="67" t="e">
        <f t="shared" si="29"/>
        <v>#DIV/0!</v>
      </c>
      <c r="L72" s="67" t="e">
        <f t="shared" si="30"/>
        <v>#DIV/0!</v>
      </c>
      <c r="M72" s="67" t="e">
        <f t="shared" si="31"/>
        <v>#DIV/0!</v>
      </c>
      <c r="N72" s="67" t="e">
        <f t="shared" si="32"/>
        <v>#DIV/0!</v>
      </c>
      <c r="O72" s="68" t="e">
        <f t="shared" si="33"/>
        <v>#DIV/0!</v>
      </c>
      <c r="P72" s="327"/>
      <c r="Q72" s="51"/>
      <c r="R72" s="30">
        <f t="shared" si="34"/>
        <v>0</v>
      </c>
      <c r="S72" s="26" t="e">
        <f t="shared" si="35"/>
        <v>#DIV/0!</v>
      </c>
      <c r="T72" s="3"/>
      <c r="U72" s="10"/>
      <c r="V72" s="52">
        <f t="shared" si="36"/>
        <v>3.5</v>
      </c>
      <c r="W72" s="336">
        <f t="shared" si="37"/>
        <v>3.5</v>
      </c>
    </row>
    <row r="73" spans="3:23" ht="18" customHeight="1">
      <c r="C73" s="64">
        <f t="shared" si="21"/>
        <v>4</v>
      </c>
      <c r="D73" s="71" t="e">
        <f t="shared" si="22"/>
        <v>#DIV/0!</v>
      </c>
      <c r="E73" s="67" t="e">
        <f t="shared" si="23"/>
        <v>#DIV/0!</v>
      </c>
      <c r="F73" s="67" t="e">
        <f t="shared" si="24"/>
        <v>#DIV/0!</v>
      </c>
      <c r="G73" s="67" t="e">
        <f t="shared" si="25"/>
        <v>#DIV/0!</v>
      </c>
      <c r="H73" s="67" t="e">
        <f t="shared" si="26"/>
        <v>#DIV/0!</v>
      </c>
      <c r="I73" s="67" t="e">
        <f t="shared" si="27"/>
        <v>#DIV/0!</v>
      </c>
      <c r="J73" s="67" t="e">
        <f t="shared" si="28"/>
        <v>#DIV/0!</v>
      </c>
      <c r="K73" s="67" t="e">
        <f t="shared" si="29"/>
        <v>#DIV/0!</v>
      </c>
      <c r="L73" s="67" t="e">
        <f t="shared" si="30"/>
        <v>#DIV/0!</v>
      </c>
      <c r="M73" s="67" t="e">
        <f t="shared" si="31"/>
        <v>#DIV/0!</v>
      </c>
      <c r="N73" s="67" t="e">
        <f t="shared" si="32"/>
        <v>#DIV/0!</v>
      </c>
      <c r="O73" s="68" t="e">
        <f t="shared" si="33"/>
        <v>#DIV/0!</v>
      </c>
      <c r="P73" s="327"/>
      <c r="Q73" s="51"/>
      <c r="R73" s="30">
        <f t="shared" si="34"/>
        <v>0</v>
      </c>
      <c r="S73" s="26" t="e">
        <f t="shared" si="35"/>
        <v>#DIV/0!</v>
      </c>
      <c r="T73" s="3"/>
      <c r="U73" s="10"/>
      <c r="V73" s="52">
        <f t="shared" si="36"/>
        <v>4</v>
      </c>
      <c r="W73" s="336">
        <f t="shared" si="37"/>
        <v>4</v>
      </c>
    </row>
    <row r="74" spans="3:23" ht="18" customHeight="1">
      <c r="C74" s="64">
        <f t="shared" si="21"/>
        <v>5</v>
      </c>
      <c r="D74" s="71" t="e">
        <f t="shared" si="22"/>
        <v>#DIV/0!</v>
      </c>
      <c r="E74" s="67" t="e">
        <f t="shared" si="23"/>
        <v>#DIV/0!</v>
      </c>
      <c r="F74" s="67" t="e">
        <f t="shared" si="24"/>
        <v>#DIV/0!</v>
      </c>
      <c r="G74" s="67" t="e">
        <f t="shared" si="25"/>
        <v>#DIV/0!</v>
      </c>
      <c r="H74" s="67" t="e">
        <f t="shared" si="26"/>
        <v>#DIV/0!</v>
      </c>
      <c r="I74" s="67" t="e">
        <f t="shared" si="27"/>
        <v>#DIV/0!</v>
      </c>
      <c r="J74" s="67" t="e">
        <f t="shared" si="28"/>
        <v>#DIV/0!</v>
      </c>
      <c r="K74" s="67" t="e">
        <f t="shared" si="29"/>
        <v>#DIV/0!</v>
      </c>
      <c r="L74" s="67" t="e">
        <f t="shared" si="30"/>
        <v>#DIV/0!</v>
      </c>
      <c r="M74" s="67" t="e">
        <f t="shared" si="31"/>
        <v>#DIV/0!</v>
      </c>
      <c r="N74" s="67" t="e">
        <f t="shared" si="32"/>
        <v>#DIV/0!</v>
      </c>
      <c r="O74" s="68" t="e">
        <f t="shared" si="33"/>
        <v>#DIV/0!</v>
      </c>
      <c r="P74" s="327"/>
      <c r="Q74" s="51"/>
      <c r="R74" s="30">
        <f t="shared" si="34"/>
        <v>0</v>
      </c>
      <c r="S74" s="26" t="e">
        <f t="shared" si="35"/>
        <v>#DIV/0!</v>
      </c>
      <c r="T74" s="3"/>
      <c r="U74" s="10"/>
      <c r="V74" s="52">
        <f t="shared" si="36"/>
        <v>5</v>
      </c>
      <c r="W74" s="336">
        <f t="shared" si="37"/>
        <v>5</v>
      </c>
    </row>
    <row r="75" spans="3:23" ht="18" customHeight="1">
      <c r="C75" s="64">
        <f t="shared" si="21"/>
        <v>6</v>
      </c>
      <c r="D75" s="71" t="e">
        <f t="shared" si="22"/>
        <v>#DIV/0!</v>
      </c>
      <c r="E75" s="67" t="e">
        <f t="shared" si="23"/>
        <v>#DIV/0!</v>
      </c>
      <c r="F75" s="67" t="e">
        <f t="shared" si="24"/>
        <v>#DIV/0!</v>
      </c>
      <c r="G75" s="67" t="e">
        <f t="shared" si="25"/>
        <v>#DIV/0!</v>
      </c>
      <c r="H75" s="67" t="e">
        <f t="shared" si="26"/>
        <v>#DIV/0!</v>
      </c>
      <c r="I75" s="67" t="e">
        <f t="shared" si="27"/>
        <v>#DIV/0!</v>
      </c>
      <c r="J75" s="67" t="e">
        <f t="shared" si="28"/>
        <v>#DIV/0!</v>
      </c>
      <c r="K75" s="67" t="e">
        <f t="shared" si="29"/>
        <v>#DIV/0!</v>
      </c>
      <c r="L75" s="67" t="e">
        <f t="shared" si="30"/>
        <v>#DIV/0!</v>
      </c>
      <c r="M75" s="67" t="e">
        <f t="shared" si="31"/>
        <v>#DIV/0!</v>
      </c>
      <c r="N75" s="67" t="e">
        <f t="shared" si="32"/>
        <v>#DIV/0!</v>
      </c>
      <c r="O75" s="68" t="e">
        <f t="shared" si="33"/>
        <v>#DIV/0!</v>
      </c>
      <c r="P75" s="327"/>
      <c r="Q75" s="51"/>
      <c r="R75" s="30">
        <f t="shared" si="34"/>
        <v>0</v>
      </c>
      <c r="S75" s="26" t="e">
        <f t="shared" si="35"/>
        <v>#DIV/0!</v>
      </c>
      <c r="T75" s="3"/>
      <c r="U75" s="10"/>
      <c r="V75" s="52">
        <f t="shared" si="36"/>
        <v>6</v>
      </c>
      <c r="W75" s="336">
        <f t="shared" si="37"/>
        <v>6</v>
      </c>
    </row>
    <row r="76" spans="2:23" ht="18" customHeight="1">
      <c r="B76" s="20"/>
      <c r="C76" s="64">
        <f t="shared" si="21"/>
        <v>7</v>
      </c>
      <c r="D76" s="71" t="e">
        <f t="shared" si="22"/>
        <v>#DIV/0!</v>
      </c>
      <c r="E76" s="67" t="e">
        <f t="shared" si="23"/>
        <v>#DIV/0!</v>
      </c>
      <c r="F76" s="67" t="e">
        <f t="shared" si="24"/>
        <v>#DIV/0!</v>
      </c>
      <c r="G76" s="67" t="e">
        <f t="shared" si="25"/>
        <v>#DIV/0!</v>
      </c>
      <c r="H76" s="67" t="e">
        <f t="shared" si="26"/>
        <v>#DIV/0!</v>
      </c>
      <c r="I76" s="67" t="e">
        <f t="shared" si="27"/>
        <v>#DIV/0!</v>
      </c>
      <c r="J76" s="67" t="e">
        <f t="shared" si="28"/>
        <v>#DIV/0!</v>
      </c>
      <c r="K76" s="67" t="e">
        <f t="shared" si="29"/>
        <v>#DIV/0!</v>
      </c>
      <c r="L76" s="67" t="e">
        <f t="shared" si="30"/>
        <v>#DIV/0!</v>
      </c>
      <c r="M76" s="67" t="e">
        <f t="shared" si="31"/>
        <v>#DIV/0!</v>
      </c>
      <c r="N76" s="67" t="e">
        <f t="shared" si="32"/>
        <v>#DIV/0!</v>
      </c>
      <c r="O76" s="68" t="e">
        <f t="shared" si="33"/>
        <v>#DIV/0!</v>
      </c>
      <c r="P76" s="327"/>
      <c r="Q76" s="51"/>
      <c r="R76" s="30">
        <f t="shared" si="34"/>
        <v>0</v>
      </c>
      <c r="S76" s="26" t="e">
        <f t="shared" si="35"/>
        <v>#DIV/0!</v>
      </c>
      <c r="T76" s="3"/>
      <c r="U76" s="10"/>
      <c r="V76" s="52">
        <f t="shared" si="36"/>
        <v>7</v>
      </c>
      <c r="W76" s="336">
        <f t="shared" si="37"/>
        <v>7</v>
      </c>
    </row>
    <row r="77" spans="3:23" ht="18" customHeight="1" thickBot="1">
      <c r="C77" s="64">
        <f t="shared" si="21"/>
        <v>8</v>
      </c>
      <c r="D77" s="71" t="e">
        <f t="shared" si="22"/>
        <v>#DIV/0!</v>
      </c>
      <c r="E77" s="69" t="e">
        <f t="shared" si="23"/>
        <v>#DIV/0!</v>
      </c>
      <c r="F77" s="69" t="e">
        <f t="shared" si="24"/>
        <v>#DIV/0!</v>
      </c>
      <c r="G77" s="69" t="e">
        <f t="shared" si="25"/>
        <v>#DIV/0!</v>
      </c>
      <c r="H77" s="69" t="e">
        <f t="shared" si="26"/>
        <v>#DIV/0!</v>
      </c>
      <c r="I77" s="69" t="e">
        <f t="shared" si="27"/>
        <v>#DIV/0!</v>
      </c>
      <c r="J77" s="69" t="e">
        <f t="shared" si="28"/>
        <v>#DIV/0!</v>
      </c>
      <c r="K77" s="69" t="e">
        <f t="shared" si="29"/>
        <v>#DIV/0!</v>
      </c>
      <c r="L77" s="69" t="e">
        <f t="shared" si="30"/>
        <v>#DIV/0!</v>
      </c>
      <c r="M77" s="69" t="e">
        <f t="shared" si="31"/>
        <v>#DIV/0!</v>
      </c>
      <c r="N77" s="69" t="e">
        <f t="shared" si="32"/>
        <v>#DIV/0!</v>
      </c>
      <c r="O77" s="70" t="e">
        <f t="shared" si="33"/>
        <v>#DIV/0!</v>
      </c>
      <c r="P77" s="327"/>
      <c r="Q77" s="53"/>
      <c r="R77" s="54">
        <f t="shared" si="34"/>
        <v>0</v>
      </c>
      <c r="S77" s="55" t="e">
        <f t="shared" si="35"/>
        <v>#DIV/0!</v>
      </c>
      <c r="T77" s="56"/>
      <c r="U77" s="57"/>
      <c r="V77" s="58">
        <f t="shared" si="36"/>
        <v>8</v>
      </c>
      <c r="W77" s="337">
        <f t="shared" si="37"/>
        <v>8</v>
      </c>
    </row>
    <row r="78" spans="2:16" ht="18" customHeight="1">
      <c r="B78" s="21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  <c r="P78" s="327"/>
    </row>
    <row r="79" spans="3:16" ht="18" customHeight="1">
      <c r="C79" s="82"/>
      <c r="D79" s="6" t="s">
        <v>31</v>
      </c>
      <c r="E79" s="920" t="e">
        <f>Q84</f>
        <v>#DIV/0!</v>
      </c>
      <c r="F79" s="920"/>
      <c r="G79" s="3" t="s">
        <v>33</v>
      </c>
      <c r="H79" s="183" t="s">
        <v>280</v>
      </c>
      <c r="I79" s="606">
        <f>R62</f>
        <v>0.9</v>
      </c>
      <c r="J79" s="3" t="s">
        <v>281</v>
      </c>
      <c r="K79" s="606">
        <f>R63</f>
        <v>0.6</v>
      </c>
      <c r="L79" s="3" t="s">
        <v>282</v>
      </c>
      <c r="M79" s="606">
        <f>R64</f>
        <v>0.35</v>
      </c>
      <c r="N79" s="3" t="s">
        <v>283</v>
      </c>
      <c r="O79" s="83" t="s">
        <v>284</v>
      </c>
      <c r="P79" s="327"/>
    </row>
    <row r="80" spans="3:21" ht="15" customHeight="1">
      <c r="C80" s="8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3"/>
      <c r="P80" s="327"/>
      <c r="T80" s="1"/>
      <c r="U80" s="1"/>
    </row>
    <row r="81" spans="3:21" ht="15" customHeight="1">
      <c r="C81" s="8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3"/>
      <c r="P81" s="327"/>
      <c r="S81" s="338"/>
      <c r="T81" s="338"/>
      <c r="U81" s="1"/>
    </row>
    <row r="82" spans="3:21" ht="15" customHeight="1">
      <c r="C82" s="82"/>
      <c r="D82" s="6" t="s">
        <v>31</v>
      </c>
      <c r="E82" s="5" t="s">
        <v>25</v>
      </c>
      <c r="F82" s="5"/>
      <c r="G82" s="5"/>
      <c r="H82" s="5"/>
      <c r="I82" s="5"/>
      <c r="J82" s="5"/>
      <c r="K82" s="5"/>
      <c r="L82" s="5"/>
      <c r="M82" s="5"/>
      <c r="N82" s="5"/>
      <c r="O82" s="83"/>
      <c r="P82" s="327"/>
      <c r="Q82" s="97" t="e">
        <f>Q67</f>
        <v>#DIV/0!</v>
      </c>
      <c r="T82" s="1"/>
      <c r="U82" s="1"/>
    </row>
    <row r="83" spans="3:21" ht="15" customHeight="1">
      <c r="C83" s="82"/>
      <c r="D83" s="6" t="s">
        <v>32</v>
      </c>
      <c r="E83" s="5" t="s">
        <v>26</v>
      </c>
      <c r="F83" s="5"/>
      <c r="G83" s="5"/>
      <c r="H83" s="5"/>
      <c r="I83" s="5"/>
      <c r="J83" s="5"/>
      <c r="K83" s="5"/>
      <c r="L83" s="5"/>
      <c r="M83" s="5"/>
      <c r="N83" s="5"/>
      <c r="O83" s="83"/>
      <c r="P83" s="327"/>
      <c r="Q83" s="98">
        <f>((0.278*$K$61*POWER(10,-6)))</f>
        <v>4.21309E-05</v>
      </c>
      <c r="T83" s="1"/>
      <c r="U83" s="1"/>
    </row>
    <row r="84" spans="3:21" ht="15" customHeight="1">
      <c r="C84" s="82"/>
      <c r="D84" s="6" t="s">
        <v>29</v>
      </c>
      <c r="E84" s="5" t="s">
        <v>27</v>
      </c>
      <c r="F84" s="5"/>
      <c r="G84" s="5"/>
      <c r="H84" s="5"/>
      <c r="I84" s="5"/>
      <c r="J84" s="5"/>
      <c r="K84" s="5"/>
      <c r="L84" s="119">
        <f>U62</f>
        <v>22</v>
      </c>
      <c r="M84" s="5"/>
      <c r="N84" s="5"/>
      <c r="O84" s="83"/>
      <c r="P84" s="327"/>
      <c r="Q84" s="102" t="e">
        <f>(Q82/Q83)/10</f>
        <v>#DIV/0!</v>
      </c>
      <c r="T84" s="1"/>
      <c r="U84" s="1"/>
    </row>
    <row r="85" spans="3:21" ht="15" customHeight="1">
      <c r="C85" s="82"/>
      <c r="D85" s="6" t="s">
        <v>43</v>
      </c>
      <c r="E85" s="5" t="s">
        <v>28</v>
      </c>
      <c r="F85" s="5"/>
      <c r="G85" s="5"/>
      <c r="H85" s="5"/>
      <c r="I85" s="5"/>
      <c r="J85" s="5"/>
      <c r="K85" s="5"/>
      <c r="L85" s="9" t="s">
        <v>34</v>
      </c>
      <c r="M85" s="5"/>
      <c r="N85" s="5"/>
      <c r="O85" s="83"/>
      <c r="P85" s="327"/>
      <c r="Q85" s="99"/>
      <c r="T85" s="1"/>
      <c r="U85" s="1"/>
    </row>
    <row r="86" spans="3:21" ht="15" customHeight="1">
      <c r="C86" s="82"/>
      <c r="D86" s="6" t="s">
        <v>44</v>
      </c>
      <c r="E86" s="5" t="s">
        <v>30</v>
      </c>
      <c r="F86" s="5"/>
      <c r="G86" s="5"/>
      <c r="H86" s="5"/>
      <c r="I86" s="5"/>
      <c r="J86" s="5"/>
      <c r="K86" s="5"/>
      <c r="L86" s="119">
        <f>U64</f>
        <v>3</v>
      </c>
      <c r="M86" s="5"/>
      <c r="N86" s="5"/>
      <c r="O86" s="83"/>
      <c r="P86" s="327"/>
      <c r="Q86" s="100"/>
      <c r="T86" s="1"/>
      <c r="U86" s="1"/>
    </row>
    <row r="87" spans="3:21" ht="12.75" customHeight="1">
      <c r="C87" s="82"/>
      <c r="M87" s="5"/>
      <c r="N87" s="5"/>
      <c r="O87" s="83"/>
      <c r="P87" s="327"/>
      <c r="R87" s="101"/>
      <c r="T87" s="1"/>
      <c r="U87" s="1"/>
    </row>
    <row r="88" spans="3:21" ht="30" customHeight="1">
      <c r="C88" s="8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85"/>
      <c r="P88" s="327"/>
      <c r="T88" s="1"/>
      <c r="U88" s="1"/>
    </row>
    <row r="89" spans="3:15" ht="6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3:16" ht="19.5" customHeight="1">
      <c r="C90" s="79"/>
      <c r="D90" s="80"/>
      <c r="E90" s="80"/>
      <c r="F90" s="81"/>
      <c r="G90" s="861" t="str">
        <f>G2</f>
        <v>PROJETO  DE  DRENAGEM</v>
      </c>
      <c r="H90" s="862"/>
      <c r="I90" s="862"/>
      <c r="J90" s="862"/>
      <c r="K90" s="862"/>
      <c r="L90" s="862"/>
      <c r="M90" s="862"/>
      <c r="N90" s="862"/>
      <c r="O90" s="863"/>
      <c r="P90" s="339"/>
    </row>
    <row r="91" spans="3:16" ht="19.5" customHeight="1">
      <c r="C91" s="82"/>
      <c r="D91" s="5"/>
      <c r="E91" s="5"/>
      <c r="F91" s="83"/>
      <c r="G91" s="864" t="str">
        <f>G3</f>
        <v>Rodovia: MG-424</v>
      </c>
      <c r="H91" s="865"/>
      <c r="I91" s="865"/>
      <c r="J91" s="865"/>
      <c r="K91" s="865"/>
      <c r="L91" s="865"/>
      <c r="M91" s="865"/>
      <c r="N91" s="865"/>
      <c r="O91" s="866"/>
      <c r="P91" s="339"/>
    </row>
    <row r="92" spans="3:16" ht="19.5" customHeight="1">
      <c r="C92" s="82"/>
      <c r="D92" s="5"/>
      <c r="E92" s="5"/>
      <c r="F92" s="83"/>
      <c r="G92" s="864" t="str">
        <f>G4</f>
        <v>Trecho: Entroncamento MG-010  -  Sete Lagoas</v>
      </c>
      <c r="H92" s="865"/>
      <c r="I92" s="865"/>
      <c r="J92" s="865"/>
      <c r="K92" s="865"/>
      <c r="L92" s="865"/>
      <c r="M92" s="865"/>
      <c r="N92" s="865"/>
      <c r="O92" s="866"/>
      <c r="P92" s="339"/>
    </row>
    <row r="93" spans="3:16" ht="19.5" customHeight="1">
      <c r="C93" s="84"/>
      <c r="D93" s="35"/>
      <c r="E93" s="35"/>
      <c r="F93" s="85"/>
      <c r="G93" s="908" t="e">
        <f>G5</f>
        <v>#REF!</v>
      </c>
      <c r="H93" s="909"/>
      <c r="I93" s="909"/>
      <c r="J93" s="909"/>
      <c r="K93" s="909"/>
      <c r="L93" s="909"/>
      <c r="M93" s="909"/>
      <c r="N93" s="909"/>
      <c r="O93" s="910"/>
      <c r="P93" s="339"/>
    </row>
    <row r="94" spans="3:16" ht="12.75">
      <c r="C94" s="8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3"/>
      <c r="P94" s="339"/>
    </row>
    <row r="95" spans="2:16" s="75" customFormat="1" ht="21" customHeight="1">
      <c r="B95" s="74"/>
      <c r="C95" s="86"/>
      <c r="D95" s="828" t="str">
        <f>D51</f>
        <v>COMPRIMENTO  CRÍTICO DE SARJETA DE CORTE</v>
      </c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90"/>
      <c r="P95" s="340"/>
    </row>
    <row r="96" spans="2:16" s="75" customFormat="1" ht="12.75" customHeight="1">
      <c r="B96" s="74"/>
      <c r="C96" s="103"/>
      <c r="D96" s="825" t="s">
        <v>53</v>
      </c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90"/>
      <c r="P96" s="340"/>
    </row>
    <row r="97" spans="3:16" ht="18.75" customHeight="1">
      <c r="C97" s="8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3"/>
      <c r="P97" s="339"/>
    </row>
    <row r="98" spans="3:16" ht="12.75">
      <c r="C98" s="82"/>
      <c r="D98" s="823" t="str">
        <f>D54</f>
        <v>TIPO:  SCC - 70/15</v>
      </c>
      <c r="E98" s="823"/>
      <c r="F98" s="823"/>
      <c r="G98" s="823"/>
      <c r="H98" s="823"/>
      <c r="I98" s="823"/>
      <c r="J98" s="823"/>
      <c r="K98" s="823"/>
      <c r="L98" s="823"/>
      <c r="M98" s="823"/>
      <c r="N98" s="5"/>
      <c r="O98" s="83"/>
      <c r="P98" s="339"/>
    </row>
    <row r="99" spans="3:16" ht="12.75">
      <c r="C99" s="82"/>
      <c r="M99" s="5"/>
      <c r="N99" s="5"/>
      <c r="O99" s="83"/>
      <c r="P99" s="339"/>
    </row>
    <row r="100" spans="3:16" ht="12.75">
      <c r="C100" s="82"/>
      <c r="D100" s="921" t="s">
        <v>24</v>
      </c>
      <c r="E100" s="921"/>
      <c r="F100" s="921"/>
      <c r="G100" s="921"/>
      <c r="H100" s="921"/>
      <c r="I100" s="921"/>
      <c r="J100" s="921"/>
      <c r="K100" s="921"/>
      <c r="L100" s="921"/>
      <c r="M100" s="921"/>
      <c r="N100" s="5"/>
      <c r="O100" s="83"/>
      <c r="P100" s="339"/>
    </row>
    <row r="101" spans="3:16" ht="15" customHeight="1">
      <c r="C101" s="87"/>
      <c r="D101" s="13"/>
      <c r="E101" s="13"/>
      <c r="F101" s="13"/>
      <c r="G101" s="13"/>
      <c r="H101" s="13"/>
      <c r="I101" s="13"/>
      <c r="O101" s="83"/>
      <c r="P101" s="339"/>
    </row>
    <row r="102" spans="3:20" ht="15" customHeight="1">
      <c r="C102" s="87" t="s">
        <v>4</v>
      </c>
      <c r="D102" s="91">
        <f>D58</f>
        <v>0</v>
      </c>
      <c r="E102" s="5" t="s">
        <v>8</v>
      </c>
      <c r="F102" s="12"/>
      <c r="G102" s="12"/>
      <c r="H102" s="12"/>
      <c r="I102" s="12"/>
      <c r="J102" s="810" t="s">
        <v>51</v>
      </c>
      <c r="K102" s="810"/>
      <c r="L102" s="922" t="str">
        <f>'[1]BASE'!$L$14</f>
        <v>Ouro Preto - MG</v>
      </c>
      <c r="M102" s="922"/>
      <c r="N102" s="922"/>
      <c r="O102" s="83"/>
      <c r="P102" s="339"/>
      <c r="S102" s="932" t="s">
        <v>37</v>
      </c>
      <c r="T102" s="932"/>
    </row>
    <row r="103" spans="3:16" ht="15" customHeight="1" thickBot="1">
      <c r="C103" s="87" t="s">
        <v>5</v>
      </c>
      <c r="D103" s="91">
        <f>D59</f>
        <v>0</v>
      </c>
      <c r="E103" s="5" t="s">
        <v>7</v>
      </c>
      <c r="F103" s="8"/>
      <c r="G103" s="8"/>
      <c r="H103" s="8"/>
      <c r="I103" s="8"/>
      <c r="J103" s="6" t="s">
        <v>18</v>
      </c>
      <c r="K103" s="215">
        <f>'[1]BASE'!$K$15</f>
        <v>10</v>
      </c>
      <c r="L103" s="5" t="s">
        <v>12</v>
      </c>
      <c r="M103" s="5"/>
      <c r="N103" s="5"/>
      <c r="O103" s="83"/>
      <c r="P103" s="339"/>
    </row>
    <row r="104" spans="3:23" ht="15" customHeight="1">
      <c r="C104" s="87" t="s">
        <v>6</v>
      </c>
      <c r="D104" s="91" t="e">
        <f>D102/D103</f>
        <v>#DIV/0!</v>
      </c>
      <c r="E104" s="8" t="s">
        <v>7</v>
      </c>
      <c r="F104" s="92" t="e">
        <f>POWER($D$16,2/3)</f>
        <v>#DIV/0!</v>
      </c>
      <c r="G104" s="8"/>
      <c r="H104" s="8"/>
      <c r="I104" s="8"/>
      <c r="J104" s="6" t="s">
        <v>17</v>
      </c>
      <c r="K104" s="215">
        <f>'[1]BASE'!$K$16</f>
        <v>5</v>
      </c>
      <c r="L104" s="5" t="s">
        <v>13</v>
      </c>
      <c r="M104" s="5"/>
      <c r="N104" s="5"/>
      <c r="O104" s="83"/>
      <c r="P104" s="339"/>
      <c r="Q104" s="39" t="s">
        <v>15</v>
      </c>
      <c r="R104" s="306" t="s">
        <v>2</v>
      </c>
      <c r="S104" s="306" t="s">
        <v>16</v>
      </c>
      <c r="T104" s="41"/>
      <c r="U104" s="42"/>
      <c r="V104" s="42"/>
      <c r="W104" s="43"/>
    </row>
    <row r="105" spans="3:23" ht="15" customHeight="1">
      <c r="C105" s="87" t="s">
        <v>9</v>
      </c>
      <c r="D105" s="91">
        <f>'[1]BASE'!$D$17</f>
        <v>0.015</v>
      </c>
      <c r="E105" s="5"/>
      <c r="F105" s="5"/>
      <c r="G105" s="5"/>
      <c r="H105" s="5"/>
      <c r="I105" s="5"/>
      <c r="J105" s="6" t="s">
        <v>19</v>
      </c>
      <c r="K105" s="307">
        <f>'[1]BASE'!$K$17</f>
        <v>151.55</v>
      </c>
      <c r="L105" s="8" t="s">
        <v>14</v>
      </c>
      <c r="M105" s="5"/>
      <c r="N105" s="5"/>
      <c r="O105" s="83"/>
      <c r="P105" s="339"/>
      <c r="Q105" s="329">
        <f>R105/S105</f>
        <v>1</v>
      </c>
      <c r="R105" s="330">
        <f>R61</f>
        <v>1</v>
      </c>
      <c r="S105" s="330">
        <f>S61</f>
        <v>1</v>
      </c>
      <c r="T105" s="32"/>
      <c r="U105" s="4"/>
      <c r="V105" s="35"/>
      <c r="W105" s="50"/>
    </row>
    <row r="106" spans="2:23" ht="12.75">
      <c r="B106" s="60"/>
      <c r="C106" s="88"/>
      <c r="D106" s="34"/>
      <c r="E106" s="34"/>
      <c r="F106" s="5"/>
      <c r="G106" s="5"/>
      <c r="H106" s="5"/>
      <c r="I106" s="5"/>
      <c r="J106" s="13"/>
      <c r="K106" s="13"/>
      <c r="L106" s="13"/>
      <c r="M106" s="13"/>
      <c r="N106" s="13"/>
      <c r="O106" s="93"/>
      <c r="P106" s="341"/>
      <c r="Q106" s="46" t="s">
        <v>139</v>
      </c>
      <c r="R106" s="311">
        <f>R62</f>
        <v>0.9</v>
      </c>
      <c r="S106" s="31"/>
      <c r="T106" s="38" t="s">
        <v>29</v>
      </c>
      <c r="U106" s="311">
        <v>0</v>
      </c>
      <c r="V106" s="5"/>
      <c r="W106" s="45"/>
    </row>
    <row r="107" spans="2:23" ht="12.75">
      <c r="B107" s="15"/>
      <c r="C107" s="89"/>
      <c r="D107" s="11"/>
      <c r="E107" s="94"/>
      <c r="F107" s="5"/>
      <c r="G107" s="5"/>
      <c r="H107" s="5"/>
      <c r="I107" s="17"/>
      <c r="J107" s="16"/>
      <c r="K107" s="17"/>
      <c r="L107" s="16"/>
      <c r="M107" s="17"/>
      <c r="N107" s="10"/>
      <c r="O107" s="95"/>
      <c r="P107" s="342">
        <v>0.4</v>
      </c>
      <c r="Q107" s="46" t="s">
        <v>140</v>
      </c>
      <c r="R107" s="311">
        <f>R63</f>
        <v>0.6</v>
      </c>
      <c r="S107" s="31"/>
      <c r="T107" s="38" t="s">
        <v>43</v>
      </c>
      <c r="U107" s="333">
        <f>U63</f>
        <v>0</v>
      </c>
      <c r="V107" s="314"/>
      <c r="W107" s="315"/>
    </row>
    <row r="108" spans="2:23" ht="12.75">
      <c r="B108" s="22"/>
      <c r="C108" s="23" t="s">
        <v>0</v>
      </c>
      <c r="D108" s="830" t="s">
        <v>20</v>
      </c>
      <c r="E108" s="831"/>
      <c r="F108" s="831"/>
      <c r="G108" s="831"/>
      <c r="H108" s="831"/>
      <c r="I108" s="831"/>
      <c r="J108" s="831"/>
      <c r="K108" s="831"/>
      <c r="L108" s="831"/>
      <c r="M108" s="831"/>
      <c r="N108" s="831"/>
      <c r="O108" s="832"/>
      <c r="P108" s="343"/>
      <c r="Q108" s="46" t="s">
        <v>141</v>
      </c>
      <c r="R108" s="311">
        <f>R64</f>
        <v>0.35</v>
      </c>
      <c r="S108" s="31"/>
      <c r="T108" s="38" t="s">
        <v>44</v>
      </c>
      <c r="U108" s="311">
        <f>U64</f>
        <v>3</v>
      </c>
      <c r="V108" s="5"/>
      <c r="W108" s="315"/>
    </row>
    <row r="109" spans="2:23" ht="12.75">
      <c r="B109" s="6"/>
      <c r="C109" s="24" t="s">
        <v>46</v>
      </c>
      <c r="D109" s="915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7"/>
      <c r="P109" s="339"/>
      <c r="Q109" s="317"/>
      <c r="R109" s="35"/>
      <c r="S109" s="35"/>
      <c r="T109" s="35"/>
      <c r="U109" s="35"/>
      <c r="V109" s="35"/>
      <c r="W109" s="318"/>
    </row>
    <row r="110" spans="2:23" ht="12.75">
      <c r="B110" s="7"/>
      <c r="C110" s="27" t="s">
        <v>47</v>
      </c>
      <c r="D110" s="918">
        <f aca="true" t="shared" si="38" ref="D110:O110">D22</f>
        <v>0.25</v>
      </c>
      <c r="E110" s="911">
        <f t="shared" si="38"/>
        <v>0.5</v>
      </c>
      <c r="F110" s="911">
        <f t="shared" si="38"/>
        <v>1</v>
      </c>
      <c r="G110" s="911">
        <f t="shared" si="38"/>
        <v>1.5</v>
      </c>
      <c r="H110" s="911">
        <f t="shared" si="38"/>
        <v>2</v>
      </c>
      <c r="I110" s="911">
        <f t="shared" si="38"/>
        <v>2.5</v>
      </c>
      <c r="J110" s="911">
        <f t="shared" si="38"/>
        <v>3</v>
      </c>
      <c r="K110" s="911">
        <f t="shared" si="38"/>
        <v>3.5</v>
      </c>
      <c r="L110" s="911">
        <f t="shared" si="38"/>
        <v>4</v>
      </c>
      <c r="M110" s="911">
        <f t="shared" si="38"/>
        <v>5</v>
      </c>
      <c r="N110" s="911">
        <f t="shared" si="38"/>
        <v>6</v>
      </c>
      <c r="O110" s="913">
        <f t="shared" si="38"/>
        <v>7</v>
      </c>
      <c r="P110" s="339"/>
      <c r="Q110" s="47" t="s">
        <v>22</v>
      </c>
      <c r="R110" s="28" t="s">
        <v>21</v>
      </c>
      <c r="S110" s="28" t="s">
        <v>23</v>
      </c>
      <c r="T110" s="320"/>
      <c r="U110" s="18"/>
      <c r="V110" s="18" t="s">
        <v>3</v>
      </c>
      <c r="W110" s="335" t="s">
        <v>35</v>
      </c>
    </row>
    <row r="111" spans="2:23" ht="12.75">
      <c r="B111" s="22"/>
      <c r="C111" s="25" t="s">
        <v>1</v>
      </c>
      <c r="D111" s="919"/>
      <c r="E111" s="912"/>
      <c r="F111" s="912"/>
      <c r="G111" s="912"/>
      <c r="H111" s="912"/>
      <c r="I111" s="912"/>
      <c r="J111" s="912"/>
      <c r="K111" s="912"/>
      <c r="L111" s="912"/>
      <c r="M111" s="912"/>
      <c r="N111" s="912"/>
      <c r="O111" s="914"/>
      <c r="P111" s="339"/>
      <c r="Q111" s="49" t="e">
        <f>($D$14*$F$16)/$D$17</f>
        <v>#DIV/0!</v>
      </c>
      <c r="R111" s="30"/>
      <c r="S111" s="26"/>
      <c r="T111" s="36"/>
      <c r="U111" s="4"/>
      <c r="V111" s="291" t="s">
        <v>36</v>
      </c>
      <c r="W111" s="322"/>
    </row>
    <row r="112" spans="2:23" ht="18" customHeight="1">
      <c r="B112" s="22"/>
      <c r="C112" s="64">
        <f aca="true" t="shared" si="39" ref="C112:C121">C24</f>
        <v>1</v>
      </c>
      <c r="D112" s="71" t="e">
        <f aca="true" t="shared" si="40" ref="D112:D121">(($Q$23/R112)/10)*SQRT($D$22)</f>
        <v>#DIV/0!</v>
      </c>
      <c r="E112" s="65" t="e">
        <f aca="true" t="shared" si="41" ref="E112:E121">(($Q$23/R112)/10)*SQRT($E$22)</f>
        <v>#DIV/0!</v>
      </c>
      <c r="F112" s="65" t="e">
        <f aca="true" t="shared" si="42" ref="F112:F121">(($Q$23/R112)/10)*SQRT($F$22)</f>
        <v>#DIV/0!</v>
      </c>
      <c r="G112" s="65" t="e">
        <f aca="true" t="shared" si="43" ref="G112:G121">(($Q$23/R112)/10)*SQRT($G$22)</f>
        <v>#DIV/0!</v>
      </c>
      <c r="H112" s="65" t="e">
        <f aca="true" t="shared" si="44" ref="H112:H121">(($Q$23/R112)/10)*SQRT($H$22)</f>
        <v>#DIV/0!</v>
      </c>
      <c r="I112" s="65" t="e">
        <f aca="true" t="shared" si="45" ref="I112:I121">(($Q$23/R112)/10)*SQRT($I$22)</f>
        <v>#DIV/0!</v>
      </c>
      <c r="J112" s="65" t="e">
        <f aca="true" t="shared" si="46" ref="J112:J121">(($Q$23/R112)/10)*SQRT($J$22)</f>
        <v>#DIV/0!</v>
      </c>
      <c r="K112" s="65" t="e">
        <f aca="true" t="shared" si="47" ref="K112:K121">(($Q$23/R112)/10)*SQRT($K$22)</f>
        <v>#DIV/0!</v>
      </c>
      <c r="L112" s="65" t="e">
        <f aca="true" t="shared" si="48" ref="L112:L121">(($Q$23/R112)/10)*SQRT($L$22)</f>
        <v>#DIV/0!</v>
      </c>
      <c r="M112" s="65" t="e">
        <f aca="true" t="shared" si="49" ref="M112:M121">(($Q$23/R112)/10)*SQRT($M$22)</f>
        <v>#DIV/0!</v>
      </c>
      <c r="N112" s="65" t="e">
        <f aca="true" t="shared" si="50" ref="N112:N121">(($Q$23/R112)/10)*SQRT($N$22)</f>
        <v>#DIV/0!</v>
      </c>
      <c r="O112" s="66" t="e">
        <f aca="true" t="shared" si="51" ref="O112:O121">(($Q$23/R112)/10)*SQRT($O$22)</f>
        <v>#DIV/0!</v>
      </c>
      <c r="P112" s="339"/>
      <c r="Q112" s="51"/>
      <c r="R112" s="29">
        <f aca="true" t="shared" si="52" ref="R112:R121">((0.278*$K$17*POWER(10,-6)*(($R$18*$U$106)+($R$19*W112)+($R$20*$U$20))))</f>
        <v>0</v>
      </c>
      <c r="S112" s="165" t="e">
        <f aca="true" t="shared" si="53" ref="S112:S121">($Q$23/R112)/10</f>
        <v>#DIV/0!</v>
      </c>
      <c r="T112" s="3"/>
      <c r="U112" s="10"/>
      <c r="V112" s="52">
        <f aca="true" t="shared" si="54" ref="V112:V121">C112</f>
        <v>1</v>
      </c>
      <c r="W112" s="336">
        <f aca="true" t="shared" si="55" ref="W112:W121">$Q$17*V112</f>
        <v>1</v>
      </c>
    </row>
    <row r="113" spans="2:23" ht="18" customHeight="1">
      <c r="B113" s="15"/>
      <c r="C113" s="64">
        <f t="shared" si="39"/>
        <v>2</v>
      </c>
      <c r="D113" s="71" t="e">
        <f t="shared" si="40"/>
        <v>#DIV/0!</v>
      </c>
      <c r="E113" s="67" t="e">
        <f t="shared" si="41"/>
        <v>#DIV/0!</v>
      </c>
      <c r="F113" s="67" t="e">
        <f t="shared" si="42"/>
        <v>#DIV/0!</v>
      </c>
      <c r="G113" s="67" t="e">
        <f t="shared" si="43"/>
        <v>#DIV/0!</v>
      </c>
      <c r="H113" s="67" t="e">
        <f t="shared" si="44"/>
        <v>#DIV/0!</v>
      </c>
      <c r="I113" s="67" t="e">
        <f t="shared" si="45"/>
        <v>#DIV/0!</v>
      </c>
      <c r="J113" s="67" t="e">
        <f t="shared" si="46"/>
        <v>#DIV/0!</v>
      </c>
      <c r="K113" s="67" t="e">
        <f t="shared" si="47"/>
        <v>#DIV/0!</v>
      </c>
      <c r="L113" s="67" t="e">
        <f t="shared" si="48"/>
        <v>#DIV/0!</v>
      </c>
      <c r="M113" s="67" t="e">
        <f t="shared" si="49"/>
        <v>#DIV/0!</v>
      </c>
      <c r="N113" s="67" t="e">
        <f t="shared" si="50"/>
        <v>#DIV/0!</v>
      </c>
      <c r="O113" s="68" t="e">
        <f t="shared" si="51"/>
        <v>#DIV/0!</v>
      </c>
      <c r="P113" s="339"/>
      <c r="Q113" s="51"/>
      <c r="R113" s="30">
        <f t="shared" si="52"/>
        <v>0</v>
      </c>
      <c r="S113" s="78" t="e">
        <f t="shared" si="53"/>
        <v>#DIV/0!</v>
      </c>
      <c r="T113" s="3"/>
      <c r="U113" s="10"/>
      <c r="V113" s="52">
        <f t="shared" si="54"/>
        <v>2</v>
      </c>
      <c r="W113" s="336">
        <f t="shared" si="55"/>
        <v>2</v>
      </c>
    </row>
    <row r="114" spans="2:23" ht="18" customHeight="1">
      <c r="B114" s="14"/>
      <c r="C114" s="64">
        <f t="shared" si="39"/>
        <v>2.5</v>
      </c>
      <c r="D114" s="71" t="e">
        <f t="shared" si="40"/>
        <v>#DIV/0!</v>
      </c>
      <c r="E114" s="67" t="e">
        <f t="shared" si="41"/>
        <v>#DIV/0!</v>
      </c>
      <c r="F114" s="67" t="e">
        <f t="shared" si="42"/>
        <v>#DIV/0!</v>
      </c>
      <c r="G114" s="67" t="e">
        <f t="shared" si="43"/>
        <v>#DIV/0!</v>
      </c>
      <c r="H114" s="67" t="e">
        <f t="shared" si="44"/>
        <v>#DIV/0!</v>
      </c>
      <c r="I114" s="67" t="e">
        <f t="shared" si="45"/>
        <v>#DIV/0!</v>
      </c>
      <c r="J114" s="67" t="e">
        <f t="shared" si="46"/>
        <v>#DIV/0!</v>
      </c>
      <c r="K114" s="67" t="e">
        <f t="shared" si="47"/>
        <v>#DIV/0!</v>
      </c>
      <c r="L114" s="67" t="e">
        <f t="shared" si="48"/>
        <v>#DIV/0!</v>
      </c>
      <c r="M114" s="67" t="e">
        <f t="shared" si="49"/>
        <v>#DIV/0!</v>
      </c>
      <c r="N114" s="67" t="e">
        <f t="shared" si="50"/>
        <v>#DIV/0!</v>
      </c>
      <c r="O114" s="68" t="e">
        <f t="shared" si="51"/>
        <v>#DIV/0!</v>
      </c>
      <c r="P114" s="339"/>
      <c r="Q114" s="51"/>
      <c r="R114" s="30">
        <f t="shared" si="52"/>
        <v>0</v>
      </c>
      <c r="S114" s="78" t="e">
        <f t="shared" si="53"/>
        <v>#DIV/0!</v>
      </c>
      <c r="T114" s="3"/>
      <c r="U114" s="10"/>
      <c r="V114" s="52">
        <f t="shared" si="54"/>
        <v>2.5</v>
      </c>
      <c r="W114" s="336">
        <f t="shared" si="55"/>
        <v>2.5</v>
      </c>
    </row>
    <row r="115" spans="3:23" ht="18" customHeight="1">
      <c r="C115" s="64">
        <f t="shared" si="39"/>
        <v>3</v>
      </c>
      <c r="D115" s="71" t="e">
        <f t="shared" si="40"/>
        <v>#DIV/0!</v>
      </c>
      <c r="E115" s="67" t="e">
        <f t="shared" si="41"/>
        <v>#DIV/0!</v>
      </c>
      <c r="F115" s="67" t="e">
        <f t="shared" si="42"/>
        <v>#DIV/0!</v>
      </c>
      <c r="G115" s="67" t="e">
        <f t="shared" si="43"/>
        <v>#DIV/0!</v>
      </c>
      <c r="H115" s="67" t="e">
        <f t="shared" si="44"/>
        <v>#DIV/0!</v>
      </c>
      <c r="I115" s="67" t="e">
        <f t="shared" si="45"/>
        <v>#DIV/0!</v>
      </c>
      <c r="J115" s="67" t="e">
        <f t="shared" si="46"/>
        <v>#DIV/0!</v>
      </c>
      <c r="K115" s="67" t="e">
        <f t="shared" si="47"/>
        <v>#DIV/0!</v>
      </c>
      <c r="L115" s="67" t="e">
        <f t="shared" si="48"/>
        <v>#DIV/0!</v>
      </c>
      <c r="M115" s="67" t="e">
        <f t="shared" si="49"/>
        <v>#DIV/0!</v>
      </c>
      <c r="N115" s="67" t="e">
        <f t="shared" si="50"/>
        <v>#DIV/0!</v>
      </c>
      <c r="O115" s="68" t="e">
        <f t="shared" si="51"/>
        <v>#DIV/0!</v>
      </c>
      <c r="P115" s="339"/>
      <c r="Q115" s="51"/>
      <c r="R115" s="30">
        <f t="shared" si="52"/>
        <v>0</v>
      </c>
      <c r="S115" s="78" t="e">
        <f t="shared" si="53"/>
        <v>#DIV/0!</v>
      </c>
      <c r="T115" s="3"/>
      <c r="U115" s="10"/>
      <c r="V115" s="52">
        <f t="shared" si="54"/>
        <v>3</v>
      </c>
      <c r="W115" s="336">
        <f t="shared" si="55"/>
        <v>3</v>
      </c>
    </row>
    <row r="116" spans="2:23" ht="18" customHeight="1">
      <c r="B116" s="14"/>
      <c r="C116" s="64">
        <f t="shared" si="39"/>
        <v>3.5</v>
      </c>
      <c r="D116" s="71" t="e">
        <f t="shared" si="40"/>
        <v>#DIV/0!</v>
      </c>
      <c r="E116" s="67" t="e">
        <f t="shared" si="41"/>
        <v>#DIV/0!</v>
      </c>
      <c r="F116" s="67" t="e">
        <f t="shared" si="42"/>
        <v>#DIV/0!</v>
      </c>
      <c r="G116" s="67" t="e">
        <f t="shared" si="43"/>
        <v>#DIV/0!</v>
      </c>
      <c r="H116" s="67" t="e">
        <f t="shared" si="44"/>
        <v>#DIV/0!</v>
      </c>
      <c r="I116" s="67" t="e">
        <f t="shared" si="45"/>
        <v>#DIV/0!</v>
      </c>
      <c r="J116" s="67" t="e">
        <f t="shared" si="46"/>
        <v>#DIV/0!</v>
      </c>
      <c r="K116" s="67" t="e">
        <f t="shared" si="47"/>
        <v>#DIV/0!</v>
      </c>
      <c r="L116" s="67" t="e">
        <f t="shared" si="48"/>
        <v>#DIV/0!</v>
      </c>
      <c r="M116" s="67" t="e">
        <f t="shared" si="49"/>
        <v>#DIV/0!</v>
      </c>
      <c r="N116" s="67" t="e">
        <f t="shared" si="50"/>
        <v>#DIV/0!</v>
      </c>
      <c r="O116" s="68" t="e">
        <f t="shared" si="51"/>
        <v>#DIV/0!</v>
      </c>
      <c r="P116" s="339"/>
      <c r="Q116" s="51"/>
      <c r="R116" s="30">
        <f t="shared" si="52"/>
        <v>0</v>
      </c>
      <c r="S116" s="78" t="e">
        <f t="shared" si="53"/>
        <v>#DIV/0!</v>
      </c>
      <c r="T116" s="3"/>
      <c r="U116" s="10"/>
      <c r="V116" s="52">
        <f t="shared" si="54"/>
        <v>3.5</v>
      </c>
      <c r="W116" s="336">
        <f t="shared" si="55"/>
        <v>3.5</v>
      </c>
    </row>
    <row r="117" spans="3:23" ht="18" customHeight="1">
      <c r="C117" s="64">
        <f t="shared" si="39"/>
        <v>4</v>
      </c>
      <c r="D117" s="71" t="e">
        <f t="shared" si="40"/>
        <v>#DIV/0!</v>
      </c>
      <c r="E117" s="67" t="e">
        <f t="shared" si="41"/>
        <v>#DIV/0!</v>
      </c>
      <c r="F117" s="67" t="e">
        <f t="shared" si="42"/>
        <v>#DIV/0!</v>
      </c>
      <c r="G117" s="67" t="e">
        <f t="shared" si="43"/>
        <v>#DIV/0!</v>
      </c>
      <c r="H117" s="67" t="e">
        <f t="shared" si="44"/>
        <v>#DIV/0!</v>
      </c>
      <c r="I117" s="67" t="e">
        <f t="shared" si="45"/>
        <v>#DIV/0!</v>
      </c>
      <c r="J117" s="67" t="e">
        <f t="shared" si="46"/>
        <v>#DIV/0!</v>
      </c>
      <c r="K117" s="67" t="e">
        <f t="shared" si="47"/>
        <v>#DIV/0!</v>
      </c>
      <c r="L117" s="67" t="e">
        <f t="shared" si="48"/>
        <v>#DIV/0!</v>
      </c>
      <c r="M117" s="67" t="e">
        <f t="shared" si="49"/>
        <v>#DIV/0!</v>
      </c>
      <c r="N117" s="67" t="e">
        <f t="shared" si="50"/>
        <v>#DIV/0!</v>
      </c>
      <c r="O117" s="68" t="e">
        <f t="shared" si="51"/>
        <v>#DIV/0!</v>
      </c>
      <c r="P117" s="339"/>
      <c r="Q117" s="51"/>
      <c r="R117" s="30">
        <f t="shared" si="52"/>
        <v>0</v>
      </c>
      <c r="S117" s="78" t="e">
        <f t="shared" si="53"/>
        <v>#DIV/0!</v>
      </c>
      <c r="T117" s="3"/>
      <c r="U117" s="10"/>
      <c r="V117" s="52">
        <f t="shared" si="54"/>
        <v>4</v>
      </c>
      <c r="W117" s="336">
        <f t="shared" si="55"/>
        <v>4</v>
      </c>
    </row>
    <row r="118" spans="3:23" ht="18" customHeight="1">
      <c r="C118" s="64">
        <f t="shared" si="39"/>
        <v>5</v>
      </c>
      <c r="D118" s="71" t="e">
        <f t="shared" si="40"/>
        <v>#DIV/0!</v>
      </c>
      <c r="E118" s="67" t="e">
        <f t="shared" si="41"/>
        <v>#DIV/0!</v>
      </c>
      <c r="F118" s="67" t="e">
        <f t="shared" si="42"/>
        <v>#DIV/0!</v>
      </c>
      <c r="G118" s="67" t="e">
        <f t="shared" si="43"/>
        <v>#DIV/0!</v>
      </c>
      <c r="H118" s="67" t="e">
        <f t="shared" si="44"/>
        <v>#DIV/0!</v>
      </c>
      <c r="I118" s="67" t="e">
        <f t="shared" si="45"/>
        <v>#DIV/0!</v>
      </c>
      <c r="J118" s="67" t="e">
        <f t="shared" si="46"/>
        <v>#DIV/0!</v>
      </c>
      <c r="K118" s="67" t="e">
        <f t="shared" si="47"/>
        <v>#DIV/0!</v>
      </c>
      <c r="L118" s="67" t="e">
        <f t="shared" si="48"/>
        <v>#DIV/0!</v>
      </c>
      <c r="M118" s="67" t="e">
        <f t="shared" si="49"/>
        <v>#DIV/0!</v>
      </c>
      <c r="N118" s="67" t="e">
        <f t="shared" si="50"/>
        <v>#DIV/0!</v>
      </c>
      <c r="O118" s="68" t="e">
        <f t="shared" si="51"/>
        <v>#DIV/0!</v>
      </c>
      <c r="P118" s="339"/>
      <c r="Q118" s="51"/>
      <c r="R118" s="30">
        <f t="shared" si="52"/>
        <v>0</v>
      </c>
      <c r="S118" s="78" t="e">
        <f t="shared" si="53"/>
        <v>#DIV/0!</v>
      </c>
      <c r="T118" s="3"/>
      <c r="U118" s="10"/>
      <c r="V118" s="52">
        <f t="shared" si="54"/>
        <v>5</v>
      </c>
      <c r="W118" s="336">
        <f t="shared" si="55"/>
        <v>5</v>
      </c>
    </row>
    <row r="119" spans="3:23" ht="18" customHeight="1">
      <c r="C119" s="64">
        <f t="shared" si="39"/>
        <v>6</v>
      </c>
      <c r="D119" s="71" t="e">
        <f t="shared" si="40"/>
        <v>#DIV/0!</v>
      </c>
      <c r="E119" s="67" t="e">
        <f t="shared" si="41"/>
        <v>#DIV/0!</v>
      </c>
      <c r="F119" s="67" t="e">
        <f t="shared" si="42"/>
        <v>#DIV/0!</v>
      </c>
      <c r="G119" s="67" t="e">
        <f t="shared" si="43"/>
        <v>#DIV/0!</v>
      </c>
      <c r="H119" s="67" t="e">
        <f t="shared" si="44"/>
        <v>#DIV/0!</v>
      </c>
      <c r="I119" s="67" t="e">
        <f t="shared" si="45"/>
        <v>#DIV/0!</v>
      </c>
      <c r="J119" s="67" t="e">
        <f t="shared" si="46"/>
        <v>#DIV/0!</v>
      </c>
      <c r="K119" s="67" t="e">
        <f t="shared" si="47"/>
        <v>#DIV/0!</v>
      </c>
      <c r="L119" s="67" t="e">
        <f t="shared" si="48"/>
        <v>#DIV/0!</v>
      </c>
      <c r="M119" s="67" t="e">
        <f t="shared" si="49"/>
        <v>#DIV/0!</v>
      </c>
      <c r="N119" s="67" t="e">
        <f t="shared" si="50"/>
        <v>#DIV/0!</v>
      </c>
      <c r="O119" s="68" t="e">
        <f t="shared" si="51"/>
        <v>#DIV/0!</v>
      </c>
      <c r="P119" s="339"/>
      <c r="Q119" s="51"/>
      <c r="R119" s="30">
        <f t="shared" si="52"/>
        <v>0</v>
      </c>
      <c r="S119" s="78" t="e">
        <f t="shared" si="53"/>
        <v>#DIV/0!</v>
      </c>
      <c r="T119" s="3"/>
      <c r="U119" s="10"/>
      <c r="V119" s="52">
        <f t="shared" si="54"/>
        <v>6</v>
      </c>
      <c r="W119" s="336">
        <f t="shared" si="55"/>
        <v>6</v>
      </c>
    </row>
    <row r="120" spans="2:23" ht="18" customHeight="1">
      <c r="B120" s="20"/>
      <c r="C120" s="64">
        <f t="shared" si="39"/>
        <v>7</v>
      </c>
      <c r="D120" s="71" t="e">
        <f t="shared" si="40"/>
        <v>#DIV/0!</v>
      </c>
      <c r="E120" s="67" t="e">
        <f t="shared" si="41"/>
        <v>#DIV/0!</v>
      </c>
      <c r="F120" s="67" t="e">
        <f t="shared" si="42"/>
        <v>#DIV/0!</v>
      </c>
      <c r="G120" s="67" t="e">
        <f t="shared" si="43"/>
        <v>#DIV/0!</v>
      </c>
      <c r="H120" s="67" t="e">
        <f t="shared" si="44"/>
        <v>#DIV/0!</v>
      </c>
      <c r="I120" s="67" t="e">
        <f t="shared" si="45"/>
        <v>#DIV/0!</v>
      </c>
      <c r="J120" s="67" t="e">
        <f t="shared" si="46"/>
        <v>#DIV/0!</v>
      </c>
      <c r="K120" s="67" t="e">
        <f t="shared" si="47"/>
        <v>#DIV/0!</v>
      </c>
      <c r="L120" s="67" t="e">
        <f t="shared" si="48"/>
        <v>#DIV/0!</v>
      </c>
      <c r="M120" s="67" t="e">
        <f t="shared" si="49"/>
        <v>#DIV/0!</v>
      </c>
      <c r="N120" s="67" t="e">
        <f t="shared" si="50"/>
        <v>#DIV/0!</v>
      </c>
      <c r="O120" s="68" t="e">
        <f t="shared" si="51"/>
        <v>#DIV/0!</v>
      </c>
      <c r="P120" s="339"/>
      <c r="Q120" s="51"/>
      <c r="R120" s="30">
        <f t="shared" si="52"/>
        <v>0</v>
      </c>
      <c r="S120" s="78" t="e">
        <f t="shared" si="53"/>
        <v>#DIV/0!</v>
      </c>
      <c r="T120" s="3"/>
      <c r="U120" s="10"/>
      <c r="V120" s="52">
        <f t="shared" si="54"/>
        <v>7</v>
      </c>
      <c r="W120" s="336">
        <f t="shared" si="55"/>
        <v>7</v>
      </c>
    </row>
    <row r="121" spans="3:23" ht="18" customHeight="1" thickBot="1">
      <c r="C121" s="64">
        <f t="shared" si="39"/>
        <v>8</v>
      </c>
      <c r="D121" s="71" t="e">
        <f t="shared" si="40"/>
        <v>#DIV/0!</v>
      </c>
      <c r="E121" s="69" t="e">
        <f t="shared" si="41"/>
        <v>#DIV/0!</v>
      </c>
      <c r="F121" s="69" t="e">
        <f t="shared" si="42"/>
        <v>#DIV/0!</v>
      </c>
      <c r="G121" s="69" t="e">
        <f t="shared" si="43"/>
        <v>#DIV/0!</v>
      </c>
      <c r="H121" s="69" t="e">
        <f t="shared" si="44"/>
        <v>#DIV/0!</v>
      </c>
      <c r="I121" s="69" t="e">
        <f t="shared" si="45"/>
        <v>#DIV/0!</v>
      </c>
      <c r="J121" s="69" t="e">
        <f t="shared" si="46"/>
        <v>#DIV/0!</v>
      </c>
      <c r="K121" s="69" t="e">
        <f t="shared" si="47"/>
        <v>#DIV/0!</v>
      </c>
      <c r="L121" s="69" t="e">
        <f t="shared" si="48"/>
        <v>#DIV/0!</v>
      </c>
      <c r="M121" s="69" t="e">
        <f t="shared" si="49"/>
        <v>#DIV/0!</v>
      </c>
      <c r="N121" s="69" t="e">
        <f t="shared" si="50"/>
        <v>#DIV/0!</v>
      </c>
      <c r="O121" s="70" t="e">
        <f t="shared" si="51"/>
        <v>#DIV/0!</v>
      </c>
      <c r="P121" s="339"/>
      <c r="Q121" s="53"/>
      <c r="R121" s="54">
        <f t="shared" si="52"/>
        <v>0</v>
      </c>
      <c r="S121" s="106" t="e">
        <f t="shared" si="53"/>
        <v>#DIV/0!</v>
      </c>
      <c r="T121" s="56"/>
      <c r="U121" s="57"/>
      <c r="V121" s="58">
        <f t="shared" si="54"/>
        <v>8</v>
      </c>
      <c r="W121" s="337">
        <f t="shared" si="55"/>
        <v>8</v>
      </c>
    </row>
    <row r="122" spans="2:16" ht="18" customHeight="1">
      <c r="B122" s="21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1"/>
      <c r="P122" s="339"/>
    </row>
    <row r="123" spans="3:16" ht="18" customHeight="1">
      <c r="C123" s="82"/>
      <c r="D123" s="6" t="s">
        <v>31</v>
      </c>
      <c r="E123" s="920" t="e">
        <f>Q128</f>
        <v>#DIV/0!</v>
      </c>
      <c r="F123" s="920"/>
      <c r="G123" s="3" t="s">
        <v>33</v>
      </c>
      <c r="H123" s="183" t="s">
        <v>280</v>
      </c>
      <c r="I123" s="606">
        <f>R106</f>
        <v>0.9</v>
      </c>
      <c r="J123" s="3" t="s">
        <v>281</v>
      </c>
      <c r="K123" s="606">
        <f>R107</f>
        <v>0.6</v>
      </c>
      <c r="L123" s="3" t="s">
        <v>282</v>
      </c>
      <c r="M123" s="606">
        <f>R108</f>
        <v>0.35</v>
      </c>
      <c r="N123" s="3" t="s">
        <v>283</v>
      </c>
      <c r="O123" s="83" t="s">
        <v>284</v>
      </c>
      <c r="P123" s="339"/>
    </row>
    <row r="124" spans="3:21" ht="15" customHeight="1">
      <c r="C124" s="8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3"/>
      <c r="P124" s="339"/>
      <c r="T124" s="1"/>
      <c r="U124" s="1"/>
    </row>
    <row r="125" spans="3:21" ht="15" customHeight="1">
      <c r="C125" s="8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3"/>
      <c r="P125" s="339"/>
      <c r="S125" s="338"/>
      <c r="T125" s="338"/>
      <c r="U125" s="1"/>
    </row>
    <row r="126" spans="3:21" ht="15" customHeight="1">
      <c r="C126" s="82"/>
      <c r="D126" s="6" t="s">
        <v>31</v>
      </c>
      <c r="E126" s="5" t="s">
        <v>25</v>
      </c>
      <c r="F126" s="5"/>
      <c r="G126" s="5"/>
      <c r="H126" s="5"/>
      <c r="I126" s="5"/>
      <c r="J126" s="5"/>
      <c r="K126" s="5"/>
      <c r="L126" s="5"/>
      <c r="M126" s="5"/>
      <c r="N126" s="5"/>
      <c r="O126" s="83"/>
      <c r="P126" s="339"/>
      <c r="Q126" s="97" t="e">
        <f>Q111</f>
        <v>#DIV/0!</v>
      </c>
      <c r="T126" s="1"/>
      <c r="U126" s="1"/>
    </row>
    <row r="127" spans="3:21" ht="15" customHeight="1">
      <c r="C127" s="82"/>
      <c r="D127" s="6" t="s">
        <v>32</v>
      </c>
      <c r="E127" s="5" t="s">
        <v>26</v>
      </c>
      <c r="F127" s="5"/>
      <c r="G127" s="5"/>
      <c r="H127" s="5"/>
      <c r="I127" s="5"/>
      <c r="J127" s="5"/>
      <c r="K127" s="5"/>
      <c r="L127" s="5"/>
      <c r="M127" s="5"/>
      <c r="N127" s="5"/>
      <c r="O127" s="83"/>
      <c r="P127" s="339"/>
      <c r="Q127" s="98">
        <f>((0.278*$K$61*POWER(10,-6)))</f>
        <v>4.21309E-05</v>
      </c>
      <c r="T127" s="1"/>
      <c r="U127" s="1"/>
    </row>
    <row r="128" spans="3:21" ht="15" customHeight="1">
      <c r="C128" s="82"/>
      <c r="D128" s="6" t="s">
        <v>29</v>
      </c>
      <c r="E128" s="5" t="s">
        <v>27</v>
      </c>
      <c r="F128" s="5"/>
      <c r="G128" s="5"/>
      <c r="H128" s="5"/>
      <c r="I128" s="5"/>
      <c r="J128" s="5"/>
      <c r="K128" s="5"/>
      <c r="L128" s="119">
        <f>U106</f>
        <v>0</v>
      </c>
      <c r="M128" s="5"/>
      <c r="N128" s="5"/>
      <c r="O128" s="83"/>
      <c r="P128" s="339"/>
      <c r="Q128" s="102" t="e">
        <f>(Q126/Q127)/10</f>
        <v>#DIV/0!</v>
      </c>
      <c r="T128" s="1"/>
      <c r="U128" s="1"/>
    </row>
    <row r="129" spans="3:21" ht="15" customHeight="1">
      <c r="C129" s="82"/>
      <c r="D129" s="6" t="s">
        <v>43</v>
      </c>
      <c r="E129" s="5" t="s">
        <v>28</v>
      </c>
      <c r="F129" s="5"/>
      <c r="G129" s="5"/>
      <c r="H129" s="5"/>
      <c r="I129" s="5"/>
      <c r="J129" s="5"/>
      <c r="K129" s="5"/>
      <c r="L129" s="9" t="s">
        <v>34</v>
      </c>
      <c r="M129" s="5"/>
      <c r="N129" s="5"/>
      <c r="O129" s="83"/>
      <c r="P129" s="339"/>
      <c r="Q129" s="99"/>
      <c r="T129" s="1"/>
      <c r="U129" s="1"/>
    </row>
    <row r="130" spans="3:21" ht="15" customHeight="1">
      <c r="C130" s="82"/>
      <c r="D130" s="6" t="s">
        <v>44</v>
      </c>
      <c r="E130" s="5" t="s">
        <v>30</v>
      </c>
      <c r="F130" s="5"/>
      <c r="G130" s="5"/>
      <c r="H130" s="5"/>
      <c r="I130" s="5"/>
      <c r="J130" s="5"/>
      <c r="K130" s="5"/>
      <c r="L130" s="119">
        <f>U108</f>
        <v>3</v>
      </c>
      <c r="M130" s="5"/>
      <c r="N130" s="5"/>
      <c r="O130" s="83"/>
      <c r="P130" s="339"/>
      <c r="Q130" s="100"/>
      <c r="T130" s="1"/>
      <c r="U130" s="1"/>
    </row>
    <row r="131" spans="3:21" ht="12.75" customHeight="1">
      <c r="C131" s="82"/>
      <c r="M131" s="5"/>
      <c r="N131" s="5"/>
      <c r="O131" s="83"/>
      <c r="P131" s="339"/>
      <c r="R131" s="101"/>
      <c r="T131" s="1"/>
      <c r="U131" s="1"/>
    </row>
    <row r="132" spans="3:21" ht="30" customHeight="1">
      <c r="C132" s="8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85"/>
      <c r="P132" s="339"/>
      <c r="T132" s="1"/>
      <c r="U132" s="1"/>
    </row>
    <row r="133" spans="2:21" ht="9.75" customHeight="1">
      <c r="B133" s="5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121"/>
      <c r="T133" s="1"/>
      <c r="U133" s="1"/>
    </row>
  </sheetData>
  <sheetProtection/>
  <mergeCells count="76">
    <mergeCell ref="N66:N67"/>
    <mergeCell ref="O66:O67"/>
    <mergeCell ref="K110:K111"/>
    <mergeCell ref="L110:L111"/>
    <mergeCell ref="M110:M111"/>
    <mergeCell ref="K66:K67"/>
    <mergeCell ref="L66:L67"/>
    <mergeCell ref="M66:M67"/>
    <mergeCell ref="L102:N102"/>
    <mergeCell ref="N110:N111"/>
    <mergeCell ref="S102:T102"/>
    <mergeCell ref="G91:O91"/>
    <mergeCell ref="G93:O93"/>
    <mergeCell ref="D95:N95"/>
    <mergeCell ref="G92:O92"/>
    <mergeCell ref="E123:F123"/>
    <mergeCell ref="D110:D111"/>
    <mergeCell ref="E110:E111"/>
    <mergeCell ref="F110:F111"/>
    <mergeCell ref="J102:K102"/>
    <mergeCell ref="F66:F67"/>
    <mergeCell ref="D108:O109"/>
    <mergeCell ref="G110:G111"/>
    <mergeCell ref="H110:H111"/>
    <mergeCell ref="I110:I111"/>
    <mergeCell ref="D96:N96"/>
    <mergeCell ref="D98:M98"/>
    <mergeCell ref="D100:M100"/>
    <mergeCell ref="O110:O111"/>
    <mergeCell ref="J110:J111"/>
    <mergeCell ref="D64:O65"/>
    <mergeCell ref="D52:N52"/>
    <mergeCell ref="D54:M54"/>
    <mergeCell ref="D56:M56"/>
    <mergeCell ref="J58:K58"/>
    <mergeCell ref="G90:O90"/>
    <mergeCell ref="G66:G67"/>
    <mergeCell ref="H66:H67"/>
    <mergeCell ref="I66:I67"/>
    <mergeCell ref="J66:J67"/>
    <mergeCell ref="D22:D23"/>
    <mergeCell ref="E22:E23"/>
    <mergeCell ref="F22:F23"/>
    <mergeCell ref="L58:N58"/>
    <mergeCell ref="E35:F35"/>
    <mergeCell ref="G48:O48"/>
    <mergeCell ref="D66:D67"/>
    <mergeCell ref="E66:E67"/>
    <mergeCell ref="G2:O2"/>
    <mergeCell ref="G3:O3"/>
    <mergeCell ref="G5:O5"/>
    <mergeCell ref="D10:M10"/>
    <mergeCell ref="D7:M7"/>
    <mergeCell ref="D8:M8"/>
    <mergeCell ref="G4:O4"/>
    <mergeCell ref="C2:F5"/>
    <mergeCell ref="D12:M12"/>
    <mergeCell ref="D20:O21"/>
    <mergeCell ref="J22:J23"/>
    <mergeCell ref="K22:K23"/>
    <mergeCell ref="L22:L23"/>
    <mergeCell ref="G22:G23"/>
    <mergeCell ref="L14:N14"/>
    <mergeCell ref="M22:M23"/>
    <mergeCell ref="N22:N23"/>
    <mergeCell ref="J14:K14"/>
    <mergeCell ref="R46:S46"/>
    <mergeCell ref="E79:F79"/>
    <mergeCell ref="H22:H23"/>
    <mergeCell ref="D51:N51"/>
    <mergeCell ref="O22:O23"/>
    <mergeCell ref="G46:O46"/>
    <mergeCell ref="G47:O47"/>
    <mergeCell ref="S58:T58"/>
    <mergeCell ref="G49:O49"/>
    <mergeCell ref="I22:I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7"/>
  <rowBreaks count="1" manualBreakCount="1">
    <brk id="44" max="255" man="1"/>
  </rowBreaks>
  <legacyDrawing r:id="rId6"/>
  <oleObjects>
    <oleObject progId="Equation.3" shapeId="1699782" r:id="rId1"/>
    <oleObject progId="Equation.3" shapeId="1699783" r:id="rId2"/>
    <oleObject progId="Equation.3" shapeId="1699784" r:id="rId3"/>
    <oleObject progId="Equation.3" shapeId="1699785" r:id="rId4"/>
    <oleObject progId="Equation.3" shapeId="1699786" r:id="rId5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21.75" customHeight="1">
      <c r="C2" s="878"/>
      <c r="D2" s="879"/>
      <c r="E2" s="879"/>
      <c r="F2" s="880"/>
      <c r="G2" s="861" t="str">
        <f>'BASE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21.75" customHeight="1">
      <c r="C3" s="881"/>
      <c r="D3" s="882"/>
      <c r="E3" s="882"/>
      <c r="F3" s="883"/>
      <c r="G3" s="864" t="str">
        <f>'BASE '!G3</f>
        <v>Aeroporto de Diamantina</v>
      </c>
      <c r="H3" s="865"/>
      <c r="I3" s="865"/>
      <c r="J3" s="865"/>
      <c r="K3" s="865"/>
      <c r="L3" s="865"/>
      <c r="M3" s="865"/>
      <c r="N3" s="865"/>
      <c r="O3" s="866"/>
    </row>
    <row r="4" spans="3:18" ht="21.75" customHeight="1">
      <c r="C4" s="881"/>
      <c r="D4" s="882"/>
      <c r="E4" s="882"/>
      <c r="F4" s="883"/>
      <c r="G4" s="864" t="str">
        <f>'BASE '!G4</f>
        <v>A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21.75" customHeight="1">
      <c r="C5" s="884"/>
      <c r="D5" s="885"/>
      <c r="E5" s="885"/>
      <c r="F5" s="886"/>
      <c r="G5" s="908" t="str">
        <f>'BASE '!G5</f>
        <v>B</v>
      </c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28" t="s">
        <v>49</v>
      </c>
      <c r="E7" s="828"/>
      <c r="F7" s="828"/>
      <c r="G7" s="828"/>
      <c r="H7" s="828"/>
      <c r="I7" s="828"/>
      <c r="J7" s="828"/>
      <c r="K7" s="828"/>
      <c r="L7" s="828"/>
      <c r="M7" s="828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9.5" customHeight="1">
      <c r="C9" s="82"/>
      <c r="D9" s="5"/>
      <c r="E9" s="122"/>
      <c r="F9" s="5"/>
      <c r="G9" s="5"/>
      <c r="H9" s="5"/>
      <c r="I9" s="5"/>
      <c r="J9" s="5"/>
      <c r="K9" s="5"/>
      <c r="L9" s="5"/>
      <c r="M9" s="5"/>
      <c r="N9" s="5"/>
      <c r="O9" s="83"/>
    </row>
    <row r="10" spans="3:15" ht="12.75">
      <c r="C10" s="82"/>
      <c r="D10" s="888" t="s">
        <v>259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</row>
    <row r="11" spans="3:15" ht="12.75">
      <c r="C11" s="82"/>
      <c r="M11" s="5"/>
      <c r="N11" s="5"/>
      <c r="O11" s="83"/>
    </row>
    <row r="12" spans="3:15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</row>
    <row r="13" spans="3:15" ht="19.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f>0.01+0.016</f>
        <v>0.026000000000000002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'BASE '!$L$14</f>
        <v>São Luís Ma</v>
      </c>
      <c r="M14" s="922"/>
      <c r="N14" s="922"/>
      <c r="O14" s="83"/>
    </row>
    <row r="15" spans="3:15" ht="15" customHeight="1">
      <c r="C15" s="87" t="s">
        <v>5</v>
      </c>
      <c r="D15" s="125">
        <v>1.1</v>
      </c>
      <c r="E15" s="5" t="s">
        <v>7</v>
      </c>
      <c r="F15" s="8"/>
      <c r="G15" s="8"/>
      <c r="H15" s="8"/>
      <c r="I15" s="8"/>
      <c r="J15" s="6" t="s">
        <v>18</v>
      </c>
      <c r="K15" s="3">
        <f>'BASE '!K15</f>
        <v>10</v>
      </c>
      <c r="L15" s="5" t="s">
        <v>12</v>
      </c>
      <c r="M15" s="5"/>
      <c r="N15" s="5"/>
      <c r="O15" s="83"/>
    </row>
    <row r="16" spans="3:15" ht="15" customHeight="1">
      <c r="C16" s="87" t="s">
        <v>6</v>
      </c>
      <c r="D16" s="91">
        <f>D14/D15</f>
        <v>0.023636363636363636</v>
      </c>
      <c r="E16" s="8" t="s">
        <v>7</v>
      </c>
      <c r="F16" s="92">
        <f>POWER($D$16,2/3)</f>
        <v>0.08236077827651314</v>
      </c>
      <c r="G16" s="8"/>
      <c r="H16" s="8"/>
      <c r="I16" s="8"/>
      <c r="J16" s="6" t="s">
        <v>17</v>
      </c>
      <c r="K16" s="3">
        <f>'BASE '!K16</f>
        <v>10</v>
      </c>
      <c r="L16" s="5" t="s">
        <v>13</v>
      </c>
      <c r="M16" s="5"/>
      <c r="N16" s="5"/>
      <c r="O16" s="83"/>
    </row>
    <row r="17" spans="3:15" ht="15" customHeight="1" thickBot="1">
      <c r="C17" s="87" t="s">
        <v>9</v>
      </c>
      <c r="D17" s="91">
        <f>'BASE '!D17</f>
        <v>0.015</v>
      </c>
      <c r="E17" s="5"/>
      <c r="F17" s="5"/>
      <c r="G17" s="5"/>
      <c r="H17" s="5"/>
      <c r="I17" s="5"/>
      <c r="J17" s="6" t="s">
        <v>19</v>
      </c>
      <c r="K17" s="508">
        <v>198</v>
      </c>
      <c r="L17" s="8" t="s">
        <v>14</v>
      </c>
      <c r="M17" s="5"/>
      <c r="N17" s="5"/>
      <c r="O17" s="83"/>
    </row>
    <row r="18" spans="2:23" ht="18" customHeight="1">
      <c r="B18" s="60"/>
      <c r="C18" s="88" t="s">
        <v>97</v>
      </c>
      <c r="D18" s="426">
        <f>(D19*$D$14)</f>
        <v>0.010094563236008184</v>
      </c>
      <c r="E18" s="169">
        <f aca="true" t="shared" si="0" ref="E18:O18">(E19*$D$14)*1000</f>
        <v>14.275868234595613</v>
      </c>
      <c r="F18" s="169">
        <f t="shared" si="0"/>
        <v>17.484296404983073</v>
      </c>
      <c r="G18" s="169">
        <f t="shared" si="0"/>
        <v>20.18912647201637</v>
      </c>
      <c r="H18" s="169">
        <f t="shared" si="0"/>
        <v>22.57212959888455</v>
      </c>
      <c r="I18" s="169">
        <f t="shared" si="0"/>
        <v>24.726529104478214</v>
      </c>
      <c r="J18" s="169">
        <f t="shared" si="0"/>
        <v>26.707703916293074</v>
      </c>
      <c r="K18" s="169">
        <f t="shared" si="0"/>
        <v>28.551736469191226</v>
      </c>
      <c r="L18" s="169">
        <f t="shared" si="0"/>
        <v>30.283689708024554</v>
      </c>
      <c r="M18" s="169">
        <f t="shared" si="0"/>
        <v>31.921811810385705</v>
      </c>
      <c r="N18" s="169">
        <f t="shared" si="0"/>
        <v>34.96859280996615</v>
      </c>
      <c r="O18" s="381">
        <f t="shared" si="0"/>
        <v>37.77039709826669</v>
      </c>
      <c r="P18" s="13"/>
      <c r="Q18" s="39"/>
      <c r="R18" s="40"/>
      <c r="S18" s="40"/>
      <c r="T18" s="41"/>
      <c r="U18" s="42"/>
      <c r="V18" s="42"/>
      <c r="W18" s="43"/>
    </row>
    <row r="19" spans="2:23" ht="18" customHeight="1">
      <c r="B19" s="15"/>
      <c r="C19" s="382" t="s">
        <v>16</v>
      </c>
      <c r="D19" s="169">
        <f aca="true" t="shared" si="1" ref="D19:O19">($F$16/$D$17)*POWER(D22/100,1/2)</f>
        <v>0.3882524321541609</v>
      </c>
      <c r="E19" s="169">
        <f t="shared" si="1"/>
        <v>0.5490718551767543</v>
      </c>
      <c r="F19" s="169">
        <f t="shared" si="1"/>
        <v>0.6724729386531951</v>
      </c>
      <c r="G19" s="169">
        <f t="shared" si="1"/>
        <v>0.7765048643083218</v>
      </c>
      <c r="H19" s="169">
        <f t="shared" si="1"/>
        <v>0.8681588307263289</v>
      </c>
      <c r="I19" s="169">
        <f t="shared" si="1"/>
        <v>0.951020350172239</v>
      </c>
      <c r="J19" s="169">
        <f t="shared" si="1"/>
        <v>1.0272193813958874</v>
      </c>
      <c r="K19" s="169">
        <f t="shared" si="1"/>
        <v>1.0981437103535086</v>
      </c>
      <c r="L19" s="169">
        <f t="shared" si="1"/>
        <v>1.1647572964624828</v>
      </c>
      <c r="M19" s="169">
        <f t="shared" si="1"/>
        <v>1.2277619927071424</v>
      </c>
      <c r="N19" s="169">
        <f t="shared" si="1"/>
        <v>1.3449458773063903</v>
      </c>
      <c r="O19" s="383">
        <f t="shared" si="1"/>
        <v>1.452707580702565</v>
      </c>
      <c r="P19" s="19">
        <v>0.4</v>
      </c>
      <c r="Q19" s="44"/>
      <c r="R19" s="36"/>
      <c r="S19" s="36"/>
      <c r="T19" s="32"/>
      <c r="U19" s="4"/>
      <c r="V19" s="35"/>
      <c r="W19" s="50"/>
    </row>
    <row r="20" spans="2:23" ht="12.75">
      <c r="B20" s="22"/>
      <c r="C20" s="23"/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8"/>
      <c r="Q20" s="46" t="s">
        <v>10</v>
      </c>
      <c r="R20" s="124">
        <v>0.9</v>
      </c>
      <c r="S20" s="31"/>
      <c r="T20" s="38" t="s">
        <v>11</v>
      </c>
      <c r="U20" s="124">
        <v>4</v>
      </c>
      <c r="V20" s="5"/>
      <c r="W20" s="45"/>
    </row>
    <row r="21" spans="2:23" ht="12.75">
      <c r="B21" s="6"/>
      <c r="C21" s="938" t="s">
        <v>39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46" t="s">
        <v>10</v>
      </c>
      <c r="R21" s="124"/>
      <c r="S21" s="31"/>
      <c r="T21" s="38" t="s">
        <v>11</v>
      </c>
      <c r="U21" s="124"/>
      <c r="V21" s="5"/>
      <c r="W21" s="45"/>
    </row>
    <row r="22" spans="2:23" ht="12.75">
      <c r="B22" s="7"/>
      <c r="C22" s="938"/>
      <c r="D22" s="939">
        <v>0.5</v>
      </c>
      <c r="E22" s="975">
        <v>1</v>
      </c>
      <c r="F22" s="975">
        <v>1.5</v>
      </c>
      <c r="G22" s="975">
        <v>2</v>
      </c>
      <c r="H22" s="975">
        <v>2.5</v>
      </c>
      <c r="I22" s="975">
        <v>3</v>
      </c>
      <c r="J22" s="975">
        <v>3.5</v>
      </c>
      <c r="K22" s="975">
        <v>4</v>
      </c>
      <c r="L22" s="975">
        <v>4.5</v>
      </c>
      <c r="M22" s="975">
        <v>5</v>
      </c>
      <c r="N22" s="975">
        <v>6</v>
      </c>
      <c r="O22" s="973">
        <v>7</v>
      </c>
      <c r="Q22" s="47" t="s">
        <v>22</v>
      </c>
      <c r="R22" s="28" t="s">
        <v>21</v>
      </c>
      <c r="S22" s="28" t="s">
        <v>23</v>
      </c>
      <c r="T22" s="37"/>
      <c r="U22" s="18"/>
      <c r="V22" s="18"/>
      <c r="W22" s="48"/>
    </row>
    <row r="23" spans="2:23" ht="13.5" thickBot="1">
      <c r="B23" s="22"/>
      <c r="C23" s="25"/>
      <c r="D23" s="940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4"/>
      <c r="Q23" s="113">
        <f>($D$14*$F$16)/$D$17</f>
        <v>0.14275868234595615</v>
      </c>
      <c r="R23" s="30"/>
      <c r="S23" s="26"/>
      <c r="T23" s="114"/>
      <c r="U23" s="3"/>
      <c r="V23" s="3"/>
      <c r="W23" s="115"/>
    </row>
    <row r="24" spans="2:23" ht="21" customHeight="1">
      <c r="B24" s="22"/>
      <c r="C24" s="941" t="s">
        <v>40</v>
      </c>
      <c r="D24" s="943">
        <f aca="true" t="shared" si="2" ref="D24:O24">(($Q$23/$R$24)/10)*SQRT(D22)</f>
        <v>50.941889094826095</v>
      </c>
      <c r="E24" s="945">
        <f t="shared" si="2"/>
        <v>72.04271045080912</v>
      </c>
      <c r="F24" s="945">
        <f t="shared" si="2"/>
        <v>88.23394014577771</v>
      </c>
      <c r="G24" s="945">
        <f t="shared" si="2"/>
        <v>101.88377818965219</v>
      </c>
      <c r="H24" s="945">
        <f t="shared" si="2"/>
        <v>113.90952691828637</v>
      </c>
      <c r="I24" s="945">
        <f t="shared" si="2"/>
        <v>124.78163481577474</v>
      </c>
      <c r="J24" s="945">
        <f t="shared" si="2"/>
        <v>134.7795698607431</v>
      </c>
      <c r="K24" s="945">
        <f t="shared" si="2"/>
        <v>144.08542090161825</v>
      </c>
      <c r="L24" s="945">
        <f t="shared" si="2"/>
        <v>152.82566728447824</v>
      </c>
      <c r="M24" s="945">
        <f t="shared" si="2"/>
        <v>161.09239785134372</v>
      </c>
      <c r="N24" s="945">
        <f t="shared" si="2"/>
        <v>176.46788029155542</v>
      </c>
      <c r="O24" s="947">
        <f t="shared" si="2"/>
        <v>190.60709562787494</v>
      </c>
      <c r="Q24" s="280"/>
      <c r="R24" s="108">
        <f>((0.278*$K$17*POWER(10,-6)*(($R$20*$U$20)+(R21*U21))))</f>
        <v>0.0001981584</v>
      </c>
      <c r="S24" s="109">
        <f>($Q$23/R24)/10</f>
        <v>72.04271045080912</v>
      </c>
      <c r="T24" s="107"/>
      <c r="U24" s="110"/>
      <c r="V24" s="384"/>
      <c r="W24" s="281"/>
    </row>
    <row r="25" spans="2:23" ht="21" customHeight="1" thickBot="1">
      <c r="B25" s="22"/>
      <c r="C25" s="942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53"/>
      <c r="R25" s="54">
        <f>((0.278*$K$17*POWER(10,-6)*(($R$21*$U$21)+(R21*U21))))</f>
        <v>0</v>
      </c>
      <c r="S25" s="55" t="e">
        <f>($Q$23/R25)/10</f>
        <v>#DIV/0!</v>
      </c>
      <c r="T25" s="56"/>
      <c r="U25" s="57"/>
      <c r="V25" s="58"/>
      <c r="W25" s="59"/>
    </row>
    <row r="26" spans="3:15" ht="21" customHeight="1">
      <c r="C26" s="949" t="s">
        <v>41</v>
      </c>
      <c r="D26" s="943" t="e">
        <f aca="true" t="shared" si="3" ref="D26:O26">(($Q$23/$R$25)/10)*SQRT(D22)</f>
        <v>#DIV/0!</v>
      </c>
      <c r="E26" s="945" t="e">
        <f t="shared" si="3"/>
        <v>#DIV/0!</v>
      </c>
      <c r="F26" s="945" t="e">
        <f t="shared" si="3"/>
        <v>#DIV/0!</v>
      </c>
      <c r="G26" s="945" t="e">
        <f t="shared" si="3"/>
        <v>#DIV/0!</v>
      </c>
      <c r="H26" s="945" t="e">
        <f t="shared" si="3"/>
        <v>#DIV/0!</v>
      </c>
      <c r="I26" s="945" t="e">
        <f t="shared" si="3"/>
        <v>#DIV/0!</v>
      </c>
      <c r="J26" s="945" t="e">
        <f t="shared" si="3"/>
        <v>#DIV/0!</v>
      </c>
      <c r="K26" s="945" t="e">
        <f t="shared" si="3"/>
        <v>#DIV/0!</v>
      </c>
      <c r="L26" s="945" t="e">
        <f t="shared" si="3"/>
        <v>#DIV/0!</v>
      </c>
      <c r="M26" s="945" t="e">
        <f t="shared" si="3"/>
        <v>#DIV/0!</v>
      </c>
      <c r="N26" s="945" t="e">
        <f t="shared" si="3"/>
        <v>#DIV/0!</v>
      </c>
      <c r="O26" s="947" t="e">
        <f t="shared" si="3"/>
        <v>#DIV/0!</v>
      </c>
    </row>
    <row r="27" spans="3:15" ht="18" customHeight="1">
      <c r="C27" s="950"/>
      <c r="D27" s="944"/>
      <c r="E27" s="946"/>
      <c r="F27" s="946"/>
      <c r="G27" s="946"/>
      <c r="H27" s="946"/>
      <c r="I27" s="946"/>
      <c r="J27" s="946"/>
      <c r="K27" s="946"/>
      <c r="L27" s="946"/>
      <c r="M27" s="946"/>
      <c r="N27" s="946"/>
      <c r="O27" s="948"/>
    </row>
    <row r="28" spans="3:18" ht="13.5" customHeight="1">
      <c r="C28" s="111"/>
      <c r="O28" s="112"/>
      <c r="R28">
        <f>1/4</f>
        <v>0.25</v>
      </c>
    </row>
    <row r="29" spans="3:15" ht="18" customHeight="1">
      <c r="C29" s="111"/>
      <c r="O29" s="112"/>
    </row>
    <row r="30" spans="3:15" ht="18" customHeight="1">
      <c r="C30" s="111"/>
      <c r="O30" s="112"/>
    </row>
    <row r="31" spans="3:15" ht="18" customHeight="1">
      <c r="C31" s="111"/>
      <c r="O31" s="112"/>
    </row>
    <row r="32" spans="3:15" ht="15" customHeight="1">
      <c r="C32" s="111"/>
      <c r="O32" s="112"/>
    </row>
    <row r="33" spans="2:15" ht="18" customHeight="1">
      <c r="B33" s="21"/>
      <c r="C33" s="8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3"/>
    </row>
    <row r="34" spans="3:15" ht="18" customHeight="1">
      <c r="C34" s="82"/>
      <c r="D34" s="6" t="s">
        <v>31</v>
      </c>
      <c r="E34" s="920">
        <f>Q39</f>
        <v>259.35375762291284</v>
      </c>
      <c r="F34" s="920"/>
      <c r="G34" s="3" t="s">
        <v>33</v>
      </c>
      <c r="H34" s="183" t="s">
        <v>98</v>
      </c>
      <c r="I34" s="5" t="s">
        <v>42</v>
      </c>
      <c r="J34" s="5"/>
      <c r="K34" s="5"/>
      <c r="L34" s="5"/>
      <c r="M34" s="5"/>
      <c r="N34" s="5"/>
      <c r="O34" s="83"/>
    </row>
    <row r="35" spans="3:21" ht="15" customHeight="1">
      <c r="C35" s="82"/>
      <c r="D35" s="5"/>
      <c r="E35" s="5"/>
      <c r="F35" s="5"/>
      <c r="G35" s="5"/>
      <c r="I35" s="5"/>
      <c r="J35" s="5"/>
      <c r="K35" s="5"/>
      <c r="L35" s="5"/>
      <c r="M35" s="5"/>
      <c r="N35" s="5"/>
      <c r="O35" s="83"/>
      <c r="T35" s="1"/>
      <c r="U35" s="1"/>
    </row>
    <row r="36" spans="3:21" ht="15" customHeight="1">
      <c r="C36" s="8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6" t="s">
        <v>31</v>
      </c>
      <c r="E37" s="5" t="s">
        <v>25</v>
      </c>
      <c r="F37" s="5"/>
      <c r="G37" s="5"/>
      <c r="H37" s="5"/>
      <c r="I37" s="5"/>
      <c r="J37" s="5"/>
      <c r="K37" s="5"/>
      <c r="L37" s="5"/>
      <c r="M37" s="5"/>
      <c r="N37" s="5"/>
      <c r="O37" s="83"/>
      <c r="Q37" s="97">
        <f>Q23</f>
        <v>0.14275868234595615</v>
      </c>
      <c r="T37" s="1"/>
      <c r="U37" s="1"/>
    </row>
    <row r="38" spans="3:21" ht="15" customHeight="1">
      <c r="C38" s="82"/>
      <c r="D38" s="6" t="s">
        <v>32</v>
      </c>
      <c r="E38" s="5" t="s">
        <v>26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8">
        <f>((0.278*$K$17*POWER(10,-6)))</f>
        <v>5.5044000000000004E-05</v>
      </c>
      <c r="T38" s="1"/>
      <c r="U38" s="1"/>
    </row>
    <row r="39" spans="3:21" ht="15" customHeight="1">
      <c r="C39" s="82"/>
      <c r="D39" s="6" t="s">
        <v>29</v>
      </c>
      <c r="E39" s="5" t="s">
        <v>172</v>
      </c>
      <c r="F39" s="5"/>
      <c r="G39" s="5"/>
      <c r="H39" s="5"/>
      <c r="I39" s="5"/>
      <c r="J39" s="5"/>
      <c r="K39" s="5"/>
      <c r="L39" s="118">
        <f>U20</f>
        <v>4</v>
      </c>
      <c r="M39" s="5"/>
      <c r="N39" s="5"/>
      <c r="O39" s="83"/>
      <c r="Q39" s="102">
        <f>(Q37/Q38)/10</f>
        <v>259.35375762291284</v>
      </c>
      <c r="T39" s="1"/>
      <c r="U39" s="1"/>
    </row>
    <row r="40" spans="3:21" ht="15" customHeight="1">
      <c r="C40" s="82"/>
      <c r="D40" s="6" t="s">
        <v>29</v>
      </c>
      <c r="E40" s="5" t="s">
        <v>173</v>
      </c>
      <c r="F40" s="5"/>
      <c r="G40" s="5"/>
      <c r="H40" s="5"/>
      <c r="I40" s="5"/>
      <c r="J40" s="5"/>
      <c r="K40" s="5"/>
      <c r="L40" s="118">
        <f>U21</f>
        <v>0</v>
      </c>
      <c r="M40" s="5"/>
      <c r="N40" s="5"/>
      <c r="O40" s="83"/>
      <c r="Q40" s="99"/>
      <c r="T40" s="1"/>
      <c r="U40" s="1"/>
    </row>
    <row r="41" spans="3:21" ht="15" customHeight="1">
      <c r="C41" s="82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83"/>
      <c r="Q41" s="100"/>
      <c r="T41" s="1"/>
      <c r="U41" s="1"/>
    </row>
    <row r="42" spans="3:21" ht="9.75" customHeight="1">
      <c r="C42" s="82"/>
      <c r="D42" s="6"/>
      <c r="E42" s="5"/>
      <c r="F42" s="5"/>
      <c r="G42" s="5"/>
      <c r="H42" s="5"/>
      <c r="I42" s="5"/>
      <c r="J42" s="5"/>
      <c r="K42" s="5"/>
      <c r="L42" s="96"/>
      <c r="M42" s="5"/>
      <c r="N42" s="5"/>
      <c r="O42" s="83"/>
      <c r="R42" s="101"/>
      <c r="T42" s="1"/>
      <c r="U42" s="1"/>
    </row>
    <row r="43" spans="3:21" ht="19.5" customHeight="1">
      <c r="C43" s="952" t="s">
        <v>174</v>
      </c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4"/>
      <c r="T43" s="1"/>
      <c r="U43" s="1"/>
    </row>
    <row r="44" spans="20:21" s="5" customFormat="1" ht="15" customHeight="1">
      <c r="T44" s="3"/>
      <c r="U44" s="3"/>
    </row>
    <row r="45" ht="12.75">
      <c r="H45" s="5"/>
    </row>
  </sheetData>
  <sheetProtection/>
  <mergeCells count="54">
    <mergeCell ref="Q4:R4"/>
    <mergeCell ref="O22:O23"/>
    <mergeCell ref="J24:J25"/>
    <mergeCell ref="K24:K25"/>
    <mergeCell ref="L24:L25"/>
    <mergeCell ref="D7:M7"/>
    <mergeCell ref="C2:F5"/>
    <mergeCell ref="C24:C25"/>
    <mergeCell ref="G2:O2"/>
    <mergeCell ref="G4:O4"/>
    <mergeCell ref="G5:O5"/>
    <mergeCell ref="F22:F23"/>
    <mergeCell ref="G22:G23"/>
    <mergeCell ref="I22:I23"/>
    <mergeCell ref="D10:M10"/>
    <mergeCell ref="D12:M12"/>
    <mergeCell ref="M22:M23"/>
    <mergeCell ref="N22:N23"/>
    <mergeCell ref="G3:O3"/>
    <mergeCell ref="J14:K14"/>
    <mergeCell ref="E34:F34"/>
    <mergeCell ref="L14:N14"/>
    <mergeCell ref="M24:M25"/>
    <mergeCell ref="N24:N25"/>
    <mergeCell ref="E22:E23"/>
    <mergeCell ref="D8:M8"/>
    <mergeCell ref="K22:K23"/>
    <mergeCell ref="L22:L23"/>
    <mergeCell ref="C21:C22"/>
    <mergeCell ref="D24:D25"/>
    <mergeCell ref="E24:E25"/>
    <mergeCell ref="D20:O21"/>
    <mergeCell ref="H22:H23"/>
    <mergeCell ref="H24:H25"/>
    <mergeCell ref="J22:J23"/>
    <mergeCell ref="D22:D23"/>
    <mergeCell ref="O24:O25"/>
    <mergeCell ref="I24:I25"/>
    <mergeCell ref="C26:C27"/>
    <mergeCell ref="D26:D27"/>
    <mergeCell ref="G26:G27"/>
    <mergeCell ref="H26:H27"/>
    <mergeCell ref="E26:E27"/>
    <mergeCell ref="F26:F27"/>
    <mergeCell ref="I26:I27"/>
    <mergeCell ref="J26:J27"/>
    <mergeCell ref="F24:F25"/>
    <mergeCell ref="G24:G25"/>
    <mergeCell ref="O26:O27"/>
    <mergeCell ref="C43:O43"/>
    <mergeCell ref="K26:K27"/>
    <mergeCell ref="L26:L27"/>
    <mergeCell ref="M26:M27"/>
    <mergeCell ref="N26:N27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3"/>
  <legacyDrawing r:id="rId2"/>
  <oleObjects>
    <oleObject progId="Equation.3" shapeId="997536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B1:AN41"/>
  <sheetViews>
    <sheetView zoomScalePageLayoutView="0" workbookViewId="0" topLeftCell="A1">
      <selection activeCell="L14" sqref="L14:N14"/>
    </sheetView>
  </sheetViews>
  <sheetFormatPr defaultColWidth="9.140625" defaultRowHeight="12.75"/>
  <cols>
    <col min="1" max="1" width="2.421875" style="100" customWidth="1"/>
    <col min="2" max="2" width="5.28125" style="100" customWidth="1"/>
    <col min="3" max="3" width="5.421875" style="100" customWidth="1"/>
    <col min="4" max="4" width="8.28125" style="100" customWidth="1"/>
    <col min="5" max="6" width="6.00390625" style="100" customWidth="1"/>
    <col min="7" max="10" width="5.7109375" style="100" customWidth="1"/>
    <col min="11" max="11" width="6.421875" style="100" customWidth="1"/>
    <col min="12" max="15" width="6.00390625" style="100" customWidth="1"/>
    <col min="16" max="16" width="3.140625" style="100" customWidth="1"/>
    <col min="17" max="17" width="10.28125" style="100" customWidth="1"/>
    <col min="18" max="18" width="9.421875" style="100" bestFit="1" customWidth="1"/>
    <col min="19" max="19" width="7.140625" style="100" customWidth="1"/>
    <col min="20" max="20" width="7.421875" style="100" customWidth="1"/>
    <col min="21" max="21" width="5.8515625" style="100" customWidth="1"/>
    <col min="22" max="22" width="1.421875" style="100" customWidth="1"/>
    <col min="23" max="25" width="9.140625" style="100" customWidth="1"/>
    <col min="26" max="26" width="2.421875" style="100" customWidth="1"/>
    <col min="27" max="30" width="9.140625" style="100" customWidth="1"/>
    <col min="31" max="31" width="8.140625" style="100" customWidth="1"/>
    <col min="32" max="32" width="2.00390625" style="100" customWidth="1"/>
    <col min="33" max="33" width="5.7109375" style="100" customWidth="1"/>
    <col min="34" max="34" width="3.28125" style="100" customWidth="1"/>
    <col min="35" max="35" width="4.8515625" style="100" customWidth="1"/>
    <col min="36" max="36" width="6.421875" style="100" customWidth="1"/>
    <col min="37" max="38" width="3.7109375" style="100" customWidth="1"/>
    <col min="39" max="16384" width="9.140625" style="100" customWidth="1"/>
  </cols>
  <sheetData>
    <row r="1" ht="4.5" customHeight="1">
      <c r="H1" s="221"/>
    </row>
    <row r="2" spans="2:15" ht="19.5" customHeight="1">
      <c r="B2" s="982"/>
      <c r="C2" s="983"/>
      <c r="D2" s="983"/>
      <c r="E2" s="984"/>
      <c r="F2" s="861" t="str">
        <f>'[3]BASE'!G2</f>
        <v>PROJETO  DE  DRENAGEM</v>
      </c>
      <c r="G2" s="862"/>
      <c r="H2" s="862"/>
      <c r="I2" s="862"/>
      <c r="J2" s="862"/>
      <c r="K2" s="862"/>
      <c r="L2" s="862"/>
      <c r="M2" s="862"/>
      <c r="N2" s="862"/>
      <c r="O2" s="863"/>
    </row>
    <row r="3" spans="2:40" ht="19.5" customHeight="1">
      <c r="B3" s="985"/>
      <c r="C3" s="986"/>
      <c r="D3" s="986"/>
      <c r="E3" s="987"/>
      <c r="F3" s="864" t="str">
        <f>'[3]BASE'!G3</f>
        <v>RODOVIA : BR-050/MG</v>
      </c>
      <c r="G3" s="865"/>
      <c r="H3" s="865"/>
      <c r="I3" s="865"/>
      <c r="J3" s="865"/>
      <c r="K3" s="865"/>
      <c r="L3" s="865"/>
      <c r="M3" s="865"/>
      <c r="N3" s="865"/>
      <c r="O3" s="866"/>
      <c r="W3" s="2"/>
      <c r="X3" s="2"/>
      <c r="Y3" s="129"/>
      <c r="Z3" s="12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0" ht="19.5" customHeight="1" thickBot="1">
      <c r="B4" s="985"/>
      <c r="C4" s="986"/>
      <c r="D4" s="986"/>
      <c r="E4" s="987"/>
      <c r="F4" s="864" t="str">
        <f>'[3]BASE'!G4</f>
        <v>TRECHO: </v>
      </c>
      <c r="G4" s="865"/>
      <c r="H4" s="865"/>
      <c r="I4" s="865"/>
      <c r="J4" s="865"/>
      <c r="K4" s="865"/>
      <c r="L4" s="865"/>
      <c r="M4" s="865"/>
      <c r="N4" s="865"/>
      <c r="O4" s="866"/>
      <c r="W4" s="14" t="s">
        <v>60</v>
      </c>
      <c r="X4" s="2" t="s">
        <v>61</v>
      </c>
      <c r="Y4" s="2"/>
      <c r="Z4" s="2"/>
      <c r="AA4" s="2"/>
      <c r="AB4" s="2"/>
      <c r="AC4" s="133" t="s">
        <v>62</v>
      </c>
      <c r="AD4" s="134" t="s">
        <v>63</v>
      </c>
      <c r="AE4" s="135" t="s">
        <v>64</v>
      </c>
      <c r="AF4" s="37" t="s">
        <v>33</v>
      </c>
      <c r="AG4" s="136" t="s">
        <v>65</v>
      </c>
      <c r="AH4" s="137" t="s">
        <v>33</v>
      </c>
      <c r="AI4" s="138" t="s">
        <v>66</v>
      </c>
      <c r="AJ4" s="139" t="s">
        <v>67</v>
      </c>
      <c r="AK4" s="140" t="s">
        <v>33</v>
      </c>
      <c r="AL4" s="141" t="s">
        <v>66</v>
      </c>
      <c r="AM4" s="2"/>
      <c r="AN4" s="2"/>
    </row>
    <row r="5" spans="2:40" ht="19.5" customHeight="1">
      <c r="B5" s="988"/>
      <c r="C5" s="989"/>
      <c r="D5" s="989"/>
      <c r="E5" s="990"/>
      <c r="F5" s="908" t="str">
        <f>'[3]BASE'!G5</f>
        <v>SUBTRECHO: Rio Caçu - Divisa MG/SP ( Delta )</v>
      </c>
      <c r="G5" s="909"/>
      <c r="H5" s="909"/>
      <c r="I5" s="909"/>
      <c r="J5" s="909"/>
      <c r="K5" s="909"/>
      <c r="L5" s="909"/>
      <c r="M5" s="909"/>
      <c r="N5" s="909"/>
      <c r="O5" s="910"/>
      <c r="W5" s="2"/>
      <c r="X5" s="14"/>
      <c r="Y5" s="2"/>
      <c r="Z5" s="2"/>
      <c r="AA5" s="2"/>
      <c r="AB5" s="2"/>
      <c r="AC5" s="2"/>
      <c r="AD5" s="142"/>
      <c r="AE5" s="143"/>
      <c r="AF5" s="144"/>
      <c r="AG5" s="838" t="s">
        <v>68</v>
      </c>
      <c r="AH5" s="838"/>
      <c r="AI5" s="839"/>
      <c r="AJ5" s="2"/>
      <c r="AK5" s="2"/>
      <c r="AL5" s="2"/>
      <c r="AM5" s="2"/>
      <c r="AN5" s="2"/>
    </row>
    <row r="6" spans="2:40" ht="12.75">
      <c r="B6" s="198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222"/>
      <c r="Q6" s="223" t="s">
        <v>115</v>
      </c>
      <c r="R6" s="193">
        <v>0.0513</v>
      </c>
      <c r="S6" s="193" t="s">
        <v>8</v>
      </c>
      <c r="T6" s="192"/>
      <c r="U6" s="19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2:40" ht="21" customHeight="1">
      <c r="B7" s="198"/>
      <c r="C7" s="194"/>
      <c r="D7" s="811" t="s">
        <v>49</v>
      </c>
      <c r="E7" s="811"/>
      <c r="F7" s="811"/>
      <c r="G7" s="811"/>
      <c r="H7" s="811"/>
      <c r="I7" s="811"/>
      <c r="J7" s="811"/>
      <c r="K7" s="811"/>
      <c r="L7" s="811"/>
      <c r="M7" s="811"/>
      <c r="N7" s="215"/>
      <c r="O7" s="222"/>
      <c r="P7" s="194"/>
      <c r="Q7" s="223" t="s">
        <v>131</v>
      </c>
      <c r="R7" s="224">
        <f>(R23/R6)</f>
        <v>9.677382741729321</v>
      </c>
      <c r="S7" s="225" t="s">
        <v>113</v>
      </c>
      <c r="T7" s="192"/>
      <c r="U7" s="192"/>
      <c r="W7" s="14" t="s">
        <v>69</v>
      </c>
      <c r="X7" s="2" t="s">
        <v>70</v>
      </c>
      <c r="Y7" s="2"/>
      <c r="Z7" s="75"/>
      <c r="AA7" s="145" t="s">
        <v>71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2:40" ht="12.75" customHeight="1">
      <c r="B8" s="191"/>
      <c r="C8" s="190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215"/>
      <c r="O8" s="222"/>
      <c r="P8" s="194"/>
      <c r="Q8" s="195"/>
      <c r="R8" s="1000" t="s">
        <v>64</v>
      </c>
      <c r="S8" s="1000"/>
      <c r="T8" s="196"/>
      <c r="U8" s="197"/>
      <c r="W8" s="14" t="s">
        <v>69</v>
      </c>
      <c r="X8" s="2" t="s">
        <v>70</v>
      </c>
      <c r="Y8" s="2"/>
      <c r="Z8" s="75"/>
      <c r="AA8" s="145" t="s">
        <v>72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</row>
    <row r="9" spans="2:40" ht="12.75" customHeight="1">
      <c r="B9" s="198"/>
      <c r="C9" s="194"/>
      <c r="D9" s="194"/>
      <c r="E9" s="226"/>
      <c r="F9" s="194"/>
      <c r="G9" s="194"/>
      <c r="H9" s="194"/>
      <c r="I9" s="194"/>
      <c r="J9" s="194"/>
      <c r="K9" s="194"/>
      <c r="L9" s="194"/>
      <c r="M9" s="194"/>
      <c r="N9" s="194"/>
      <c r="O9" s="222"/>
      <c r="Q9" s="198"/>
      <c r="R9" s="194"/>
      <c r="S9" s="194"/>
      <c r="T9" s="194"/>
      <c r="U9" s="199"/>
      <c r="W9" s="14" t="s">
        <v>69</v>
      </c>
      <c r="X9" s="2" t="s">
        <v>70</v>
      </c>
      <c r="Y9" s="2"/>
      <c r="Z9" s="146" t="s">
        <v>73</v>
      </c>
      <c r="AA9" s="840" t="s">
        <v>74</v>
      </c>
      <c r="AB9" s="840"/>
      <c r="AC9" s="840"/>
      <c r="AD9" s="840"/>
      <c r="AE9" s="840"/>
      <c r="AF9" s="840"/>
      <c r="AG9" s="840"/>
      <c r="AH9" s="148" t="s">
        <v>75</v>
      </c>
      <c r="AI9" s="2" t="s">
        <v>33</v>
      </c>
      <c r="AJ9" s="290" t="s">
        <v>138</v>
      </c>
      <c r="AK9" s="192"/>
      <c r="AL9" s="2"/>
      <c r="AM9" s="149"/>
      <c r="AN9" s="150"/>
    </row>
    <row r="10" spans="2:40" ht="18" customHeight="1">
      <c r="B10" s="198"/>
      <c r="C10" s="194"/>
      <c r="D10" s="1004" t="s">
        <v>177</v>
      </c>
      <c r="E10" s="1004"/>
      <c r="F10" s="1004"/>
      <c r="G10" s="1004"/>
      <c r="H10" s="1004"/>
      <c r="I10" s="1004"/>
      <c r="J10" s="1004"/>
      <c r="K10" s="1004"/>
      <c r="L10" s="1004"/>
      <c r="M10" s="1004"/>
      <c r="N10" s="194"/>
      <c r="O10" s="222"/>
      <c r="Q10" s="200" t="s">
        <v>103</v>
      </c>
      <c r="R10" s="7" t="s">
        <v>104</v>
      </c>
      <c r="S10" s="7" t="s">
        <v>68</v>
      </c>
      <c r="T10" s="7" t="s">
        <v>105</v>
      </c>
      <c r="U10" s="201" t="s">
        <v>106</v>
      </c>
      <c r="W10" s="14" t="s">
        <v>69</v>
      </c>
      <c r="X10" s="2" t="s">
        <v>70</v>
      </c>
      <c r="Y10" s="2"/>
      <c r="Z10" s="146" t="s">
        <v>73</v>
      </c>
      <c r="AA10" s="151" t="s">
        <v>76</v>
      </c>
      <c r="AB10" s="840" t="s">
        <v>77</v>
      </c>
      <c r="AC10" s="840"/>
      <c r="AD10" s="840"/>
      <c r="AE10" s="840"/>
      <c r="AF10" s="840"/>
      <c r="AG10" s="840"/>
      <c r="AH10" s="148" t="s">
        <v>75</v>
      </c>
      <c r="AI10" s="2" t="s">
        <v>33</v>
      </c>
      <c r="AJ10" s="290" t="s">
        <v>138</v>
      </c>
      <c r="AK10" s="192"/>
      <c r="AL10" s="2"/>
      <c r="AM10" s="5"/>
      <c r="AN10" s="152"/>
    </row>
    <row r="11" spans="2:40" ht="12.75" customHeight="1">
      <c r="B11" s="198"/>
      <c r="C11" s="194"/>
      <c r="M11" s="194"/>
      <c r="N11" s="194"/>
      <c r="O11" s="222"/>
      <c r="Q11" s="200">
        <v>0.00175</v>
      </c>
      <c r="R11" s="16">
        <v>0.14</v>
      </c>
      <c r="S11" s="227">
        <f>D18</f>
        <v>0.015</v>
      </c>
      <c r="T11" s="295">
        <v>10</v>
      </c>
      <c r="U11" s="202"/>
      <c r="W11" s="2"/>
      <c r="X11" s="153" t="s">
        <v>60</v>
      </c>
      <c r="Y11" s="154" t="s">
        <v>78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89" t="s">
        <v>138</v>
      </c>
      <c r="AK11" s="155"/>
      <c r="AL11" s="155"/>
      <c r="AM11" s="980" t="s">
        <v>79</v>
      </c>
      <c r="AN11" s="981"/>
    </row>
    <row r="12" spans="2:40" ht="12.75" customHeight="1">
      <c r="B12" s="228"/>
      <c r="C12" s="229"/>
      <c r="D12" s="1003" t="s">
        <v>116</v>
      </c>
      <c r="E12" s="1003"/>
      <c r="F12" s="1003"/>
      <c r="G12" s="1003"/>
      <c r="H12" s="1003"/>
      <c r="I12" s="1003"/>
      <c r="J12" s="1003"/>
      <c r="K12" s="1003"/>
      <c r="L12" s="1003"/>
      <c r="M12" s="1003"/>
      <c r="N12" s="229"/>
      <c r="O12" s="222"/>
      <c r="Q12" s="200">
        <v>0.00175</v>
      </c>
      <c r="R12" s="16">
        <v>0.14</v>
      </c>
      <c r="S12" s="7">
        <f>S11</f>
        <v>0.015</v>
      </c>
      <c r="T12" s="177">
        <v>5</v>
      </c>
      <c r="U12" s="201"/>
      <c r="W12" s="2"/>
      <c r="X12" s="2"/>
      <c r="Y12" s="2"/>
      <c r="Z12" s="2"/>
      <c r="AA12" s="2"/>
      <c r="AB12" s="156" t="s">
        <v>80</v>
      </c>
      <c r="AC12" s="978" t="s">
        <v>81</v>
      </c>
      <c r="AD12" s="979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2:40" ht="12.75" customHeight="1">
      <c r="B13" s="230"/>
      <c r="C13" s="220"/>
      <c r="D13" s="231"/>
      <c r="E13" s="231"/>
      <c r="F13" s="231"/>
      <c r="G13" s="231"/>
      <c r="H13" s="231"/>
      <c r="I13" s="231"/>
      <c r="J13" s="232"/>
      <c r="K13" s="232"/>
      <c r="L13" s="232"/>
      <c r="M13" s="232"/>
      <c r="N13" s="232"/>
      <c r="O13" s="222"/>
      <c r="Q13" s="200">
        <v>0.00175</v>
      </c>
      <c r="R13" s="16">
        <v>0.05</v>
      </c>
      <c r="S13" s="7">
        <f>S11</f>
        <v>0.015</v>
      </c>
      <c r="T13" s="177">
        <f>T12</f>
        <v>5</v>
      </c>
      <c r="U13" s="201"/>
      <c r="W13" s="2"/>
      <c r="X13" s="2"/>
      <c r="Y13" s="2"/>
      <c r="Z13" s="2"/>
      <c r="AA13" s="841" t="s">
        <v>31</v>
      </c>
      <c r="AB13" s="164" t="s">
        <v>82</v>
      </c>
      <c r="AC13" s="157" t="s">
        <v>33</v>
      </c>
      <c r="AD13" s="843" t="s">
        <v>83</v>
      </c>
      <c r="AE13" s="844"/>
      <c r="AF13" s="147"/>
      <c r="AG13" s="845" t="s">
        <v>84</v>
      </c>
      <c r="AH13" s="845"/>
      <c r="AI13" s="845"/>
      <c r="AJ13" s="162">
        <v>0.7562</v>
      </c>
      <c r="AK13" s="2"/>
      <c r="AL13" s="2"/>
      <c r="AM13" s="158"/>
      <c r="AN13" s="159"/>
    </row>
    <row r="14" spans="2:40" ht="12.75" customHeight="1">
      <c r="B14" s="960" t="s">
        <v>4</v>
      </c>
      <c r="C14" s="961"/>
      <c r="D14" s="233">
        <f>R6</f>
        <v>0.0513</v>
      </c>
      <c r="E14" s="229" t="s">
        <v>8</v>
      </c>
      <c r="F14" s="231"/>
      <c r="G14" s="231"/>
      <c r="H14" s="231"/>
      <c r="I14" s="231"/>
      <c r="J14" s="963" t="s">
        <v>51</v>
      </c>
      <c r="K14" s="963"/>
      <c r="L14" s="977" t="s">
        <v>142</v>
      </c>
      <c r="M14" s="977"/>
      <c r="N14" s="977"/>
      <c r="O14" s="222"/>
      <c r="Q14" s="200"/>
      <c r="R14" s="7"/>
      <c r="S14" s="7"/>
      <c r="T14" s="7"/>
      <c r="U14" s="201"/>
      <c r="W14" s="2"/>
      <c r="X14" s="2"/>
      <c r="Y14" s="2"/>
      <c r="Z14" s="2"/>
      <c r="AA14" s="842"/>
      <c r="AB14" s="846" t="s">
        <v>85</v>
      </c>
      <c r="AC14" s="846"/>
      <c r="AD14" s="846"/>
      <c r="AE14" s="160"/>
      <c r="AF14" s="147"/>
      <c r="AG14" s="847" t="s">
        <v>86</v>
      </c>
      <c r="AH14" s="847"/>
      <c r="AI14" s="847"/>
      <c r="AJ14" s="161">
        <v>39.401</v>
      </c>
      <c r="AK14" s="2"/>
      <c r="AL14" s="2"/>
      <c r="AM14" s="166"/>
      <c r="AN14" s="2"/>
    </row>
    <row r="15" spans="2:40" ht="12.75" customHeight="1">
      <c r="B15" s="960" t="s">
        <v>117</v>
      </c>
      <c r="C15" s="961"/>
      <c r="D15" s="233">
        <f>R23</f>
        <v>0.4964497346507142</v>
      </c>
      <c r="E15" s="234" t="s">
        <v>132</v>
      </c>
      <c r="F15" s="229" t="s">
        <v>111</v>
      </c>
      <c r="G15" s="229"/>
      <c r="H15" s="229"/>
      <c r="I15" s="229"/>
      <c r="J15" s="220" t="s">
        <v>18</v>
      </c>
      <c r="K15" s="3">
        <f>'BASE '!K15</f>
        <v>10</v>
      </c>
      <c r="L15" s="229" t="s">
        <v>12</v>
      </c>
      <c r="M15" s="229"/>
      <c r="N15" s="229"/>
      <c r="O15" s="222"/>
      <c r="Q15" s="200"/>
      <c r="R15" s="7"/>
      <c r="S15" s="7"/>
      <c r="T15" s="7"/>
      <c r="U15" s="20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63"/>
      <c r="AN15" s="2"/>
    </row>
    <row r="16" spans="2:21" ht="12.75" customHeight="1">
      <c r="B16" s="960" t="s">
        <v>118</v>
      </c>
      <c r="C16" s="961"/>
      <c r="D16" s="385">
        <f>(0.278*$K$17*((L35*0.9))*POWER(10,-5))</f>
        <v>0.0023801526000000006</v>
      </c>
      <c r="E16" s="234" t="s">
        <v>132</v>
      </c>
      <c r="F16" s="229" t="s">
        <v>111</v>
      </c>
      <c r="H16" s="229"/>
      <c r="I16" s="229"/>
      <c r="J16" s="220" t="s">
        <v>17</v>
      </c>
      <c r="K16" s="3">
        <f>'BASE '!K16</f>
        <v>10</v>
      </c>
      <c r="L16" s="229" t="s">
        <v>13</v>
      </c>
      <c r="M16" s="229"/>
      <c r="N16" s="229"/>
      <c r="O16" s="222"/>
      <c r="Q16" s="200" t="s">
        <v>107</v>
      </c>
      <c r="R16" s="203">
        <f>Q11*((1/R11)/S11)*POWER(T11,8/3)</f>
        <v>386.7990694677318</v>
      </c>
      <c r="S16" s="7"/>
      <c r="T16" s="7"/>
      <c r="U16" s="201"/>
    </row>
    <row r="17" spans="2:21" ht="12.75" customHeight="1">
      <c r="B17" s="960" t="s">
        <v>119</v>
      </c>
      <c r="C17" s="961"/>
      <c r="D17" s="385">
        <f>(0.278*$K$17*((L36*0.9))*POWER(10,-5))</f>
        <v>0.0041140386000000015</v>
      </c>
      <c r="E17" s="234" t="s">
        <v>132</v>
      </c>
      <c r="F17" s="229" t="s">
        <v>111</v>
      </c>
      <c r="G17" s="229"/>
      <c r="H17" s="229"/>
      <c r="I17" s="229"/>
      <c r="J17" s="220" t="s">
        <v>19</v>
      </c>
      <c r="K17" s="236">
        <f>'BASE '!K17</f>
        <v>126</v>
      </c>
      <c r="L17" s="229" t="s">
        <v>14</v>
      </c>
      <c r="M17" s="229"/>
      <c r="N17" s="229"/>
      <c r="O17" s="222"/>
      <c r="Q17" s="200" t="s">
        <v>108</v>
      </c>
      <c r="R17" s="203">
        <f>Q12*((1/R12)/S12)*POWER(T12,8/3)</f>
        <v>60.91703621276799</v>
      </c>
      <c r="S17" s="7"/>
      <c r="T17" s="7"/>
      <c r="U17" s="201"/>
    </row>
    <row r="18" spans="2:22" ht="12.75" customHeight="1">
      <c r="B18" s="960" t="s">
        <v>9</v>
      </c>
      <c r="C18" s="961"/>
      <c r="D18" s="233">
        <f>'[3]BASE'!D17</f>
        <v>0.015</v>
      </c>
      <c r="E18" s="229"/>
      <c r="F18" s="229"/>
      <c r="G18" s="229"/>
      <c r="H18" s="229"/>
      <c r="I18" s="229"/>
      <c r="J18" s="231"/>
      <c r="K18" s="231"/>
      <c r="L18" s="231"/>
      <c r="M18" s="231"/>
      <c r="N18" s="231"/>
      <c r="O18" s="237"/>
      <c r="P18" s="238"/>
      <c r="Q18" s="200" t="s">
        <v>109</v>
      </c>
      <c r="R18" s="203">
        <f>Q13*((1/R13)/S13)*POWER(T13,8/3)</f>
        <v>170.5677013957504</v>
      </c>
      <c r="S18" s="7"/>
      <c r="T18" s="7"/>
      <c r="U18" s="201"/>
      <c r="V18" s="194"/>
    </row>
    <row r="19" spans="2:22" ht="12.75" customHeight="1">
      <c r="B19" s="296" t="s">
        <v>120</v>
      </c>
      <c r="C19" s="297"/>
      <c r="D19" s="294">
        <v>1</v>
      </c>
      <c r="E19" s="298" t="s">
        <v>7</v>
      </c>
      <c r="F19" s="229"/>
      <c r="G19" s="229"/>
      <c r="H19" s="229"/>
      <c r="I19" s="229"/>
      <c r="J19" s="231"/>
      <c r="K19" s="231"/>
      <c r="L19" s="231"/>
      <c r="M19" s="231"/>
      <c r="N19" s="231"/>
      <c r="O19" s="237"/>
      <c r="P19" s="238"/>
      <c r="Q19" s="200"/>
      <c r="R19" s="203"/>
      <c r="S19" s="7"/>
      <c r="T19" s="7"/>
      <c r="U19" s="201"/>
      <c r="V19" s="194"/>
    </row>
    <row r="20" spans="2:22" ht="12.75" customHeight="1">
      <c r="B20" s="239"/>
      <c r="C20" s="217"/>
      <c r="D20" s="240"/>
      <c r="E20" s="241"/>
      <c r="F20" s="194"/>
      <c r="G20" s="194"/>
      <c r="H20" s="194"/>
      <c r="I20" s="194"/>
      <c r="J20" s="238"/>
      <c r="K20" s="238"/>
      <c r="L20" s="238"/>
      <c r="M20" s="238"/>
      <c r="N20" s="238"/>
      <c r="O20" s="237"/>
      <c r="P20" s="238"/>
      <c r="Q20" s="200"/>
      <c r="R20" s="203"/>
      <c r="S20" s="7"/>
      <c r="T20" s="7"/>
      <c r="U20" s="201"/>
      <c r="V20" s="194"/>
    </row>
    <row r="21" spans="2:22" ht="12.75" customHeight="1">
      <c r="B21" s="242"/>
      <c r="C21" s="243"/>
      <c r="D21" s="244"/>
      <c r="E21" s="245"/>
      <c r="F21" s="194"/>
      <c r="G21" s="194"/>
      <c r="H21" s="194"/>
      <c r="I21" s="246"/>
      <c r="J21" s="247"/>
      <c r="K21" s="246"/>
      <c r="L21" s="247"/>
      <c r="M21" s="246"/>
      <c r="N21" s="240"/>
      <c r="O21" s="213"/>
      <c r="P21" s="248">
        <v>0.4</v>
      </c>
      <c r="Q21" s="200"/>
      <c r="R21" s="204"/>
      <c r="S21" s="7"/>
      <c r="T21" s="7"/>
      <c r="U21" s="201"/>
      <c r="V21" s="194"/>
    </row>
    <row r="22" spans="2:22" ht="15">
      <c r="B22" s="218"/>
      <c r="C22" s="219"/>
      <c r="D22" s="992" t="s">
        <v>20</v>
      </c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994"/>
      <c r="P22" s="194"/>
      <c r="Q22" s="1001" t="s">
        <v>121</v>
      </c>
      <c r="R22" s="205">
        <f>(R16-R17)+R18</f>
        <v>496.44973465071416</v>
      </c>
      <c r="S22" s="206" t="s">
        <v>113</v>
      </c>
      <c r="T22" s="207" t="s">
        <v>110</v>
      </c>
      <c r="U22" s="201"/>
      <c r="V22" s="194"/>
    </row>
    <row r="23" spans="2:22" ht="15">
      <c r="B23" s="1006" t="s">
        <v>39</v>
      </c>
      <c r="C23" s="1007"/>
      <c r="D23" s="995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7"/>
      <c r="Q23" s="1002"/>
      <c r="R23" s="249">
        <f>R22/1000</f>
        <v>0.4964497346507142</v>
      </c>
      <c r="S23" s="208" t="s">
        <v>114</v>
      </c>
      <c r="T23" s="209" t="s">
        <v>111</v>
      </c>
      <c r="U23" s="210"/>
      <c r="V23" s="194"/>
    </row>
    <row r="24" spans="2:22" ht="12">
      <c r="B24" s="1006"/>
      <c r="C24" s="1007"/>
      <c r="D24" s="939">
        <v>0.25</v>
      </c>
      <c r="E24" s="975">
        <v>0.5</v>
      </c>
      <c r="F24" s="975">
        <v>1</v>
      </c>
      <c r="G24" s="975">
        <v>1.5</v>
      </c>
      <c r="H24" s="975">
        <v>2</v>
      </c>
      <c r="I24" s="975">
        <v>2.5</v>
      </c>
      <c r="J24" s="975">
        <v>3</v>
      </c>
      <c r="K24" s="975">
        <v>3.5</v>
      </c>
      <c r="L24" s="975">
        <v>4</v>
      </c>
      <c r="M24" s="975">
        <v>5</v>
      </c>
      <c r="N24" s="975">
        <v>6</v>
      </c>
      <c r="O24" s="973">
        <v>7</v>
      </c>
      <c r="Q24" s="250"/>
      <c r="R24" s="250"/>
      <c r="S24" s="250"/>
      <c r="T24" s="251"/>
      <c r="U24" s="219"/>
      <c r="V24" s="215"/>
    </row>
    <row r="25" spans="2:22" ht="12">
      <c r="B25" s="252"/>
      <c r="C25" s="253"/>
      <c r="D25" s="940"/>
      <c r="E25" s="976"/>
      <c r="F25" s="976"/>
      <c r="G25" s="976"/>
      <c r="H25" s="976"/>
      <c r="I25" s="976"/>
      <c r="J25" s="976"/>
      <c r="K25" s="976"/>
      <c r="L25" s="976"/>
      <c r="M25" s="976"/>
      <c r="N25" s="976"/>
      <c r="O25" s="974"/>
      <c r="Q25" s="254"/>
      <c r="R25" s="98"/>
      <c r="S25" s="255"/>
      <c r="T25" s="256"/>
      <c r="U25" s="215"/>
      <c r="V25" s="215"/>
    </row>
    <row r="26" spans="2:22" ht="49.5" customHeight="1">
      <c r="B26" s="998" t="s">
        <v>133</v>
      </c>
      <c r="C26" s="257" t="s">
        <v>40</v>
      </c>
      <c r="D26" s="258">
        <f aca="true" t="shared" si="0" ref="D26:O26">($D$15/$D$16)*SQRT(D24)</f>
        <v>104.289475945936</v>
      </c>
      <c r="E26" s="259">
        <f t="shared" si="0"/>
        <v>147.48759129552536</v>
      </c>
      <c r="F26" s="259">
        <f t="shared" si="0"/>
        <v>208.578951891872</v>
      </c>
      <c r="G26" s="259">
        <f t="shared" si="0"/>
        <v>255.4560016098032</v>
      </c>
      <c r="H26" s="259">
        <f t="shared" si="0"/>
        <v>294.9751825910507</v>
      </c>
      <c r="I26" s="259">
        <f t="shared" si="0"/>
        <v>329.792279974501</v>
      </c>
      <c r="J26" s="259">
        <f t="shared" si="0"/>
        <v>361.2693420661869</v>
      </c>
      <c r="K26" s="259">
        <f t="shared" si="0"/>
        <v>390.21548803589474</v>
      </c>
      <c r="L26" s="259">
        <f t="shared" si="0"/>
        <v>417.157903783744</v>
      </c>
      <c r="M26" s="259">
        <f t="shared" si="0"/>
        <v>466.3967151058842</v>
      </c>
      <c r="N26" s="259">
        <f t="shared" si="0"/>
        <v>510.9120032196064</v>
      </c>
      <c r="O26" s="260">
        <f t="shared" si="0"/>
        <v>551.8480354283986</v>
      </c>
      <c r="Q26" s="215"/>
      <c r="R26" s="30"/>
      <c r="S26" s="255"/>
      <c r="T26" s="215"/>
      <c r="U26" s="240"/>
      <c r="V26" s="247"/>
    </row>
    <row r="27" spans="2:15" s="261" customFormat="1" ht="49.5" customHeight="1">
      <c r="B27" s="999"/>
      <c r="C27" s="262" t="s">
        <v>41</v>
      </c>
      <c r="D27" s="258">
        <f aca="true" t="shared" si="1" ref="D27:O27">($D$15/$D$17)*SQRT(D24)</f>
        <v>60.33605696489017</v>
      </c>
      <c r="E27" s="69">
        <f t="shared" si="1"/>
        <v>85.32807005986332</v>
      </c>
      <c r="F27" s="69">
        <f t="shared" si="1"/>
        <v>120.67211392978034</v>
      </c>
      <c r="G27" s="69">
        <f t="shared" si="1"/>
        <v>147.79255265548</v>
      </c>
      <c r="H27" s="69">
        <f t="shared" si="1"/>
        <v>170.65614011972664</v>
      </c>
      <c r="I27" s="69">
        <f t="shared" si="1"/>
        <v>190.79936504271893</v>
      </c>
      <c r="J27" s="69">
        <f t="shared" si="1"/>
        <v>209.0102323831196</v>
      </c>
      <c r="K27" s="69">
        <f t="shared" si="1"/>
        <v>225.7568532314946</v>
      </c>
      <c r="L27" s="69">
        <f t="shared" si="1"/>
        <v>241.34422785956068</v>
      </c>
      <c r="M27" s="69">
        <f t="shared" si="1"/>
        <v>269.8310497355881</v>
      </c>
      <c r="N27" s="69">
        <f t="shared" si="1"/>
        <v>295.58510531096</v>
      </c>
      <c r="O27" s="70">
        <f t="shared" si="1"/>
        <v>319.268403638652</v>
      </c>
    </row>
    <row r="28" spans="2:15" s="261" customFormat="1" ht="49.5" customHeight="1">
      <c r="B28" s="263" t="s">
        <v>122</v>
      </c>
      <c r="C28" s="264" t="s">
        <v>123</v>
      </c>
      <c r="D28" s="265">
        <f aca="true" t="shared" si="2" ref="D28:O28">$D$14*D29</f>
        <v>0.024822486732535707</v>
      </c>
      <c r="E28" s="266">
        <f t="shared" si="2"/>
        <v>0.03510429738897821</v>
      </c>
      <c r="F28" s="266">
        <f t="shared" si="2"/>
        <v>0.049644973465071414</v>
      </c>
      <c r="G28" s="266">
        <f t="shared" si="2"/>
        <v>0.06080242664171775</v>
      </c>
      <c r="H28" s="266">
        <f t="shared" si="2"/>
        <v>0.07020859477795642</v>
      </c>
      <c r="I28" s="266">
        <f t="shared" si="2"/>
        <v>0.07849559526412365</v>
      </c>
      <c r="J28" s="266">
        <f t="shared" si="2"/>
        <v>0.08598761638191244</v>
      </c>
      <c r="K28" s="266">
        <f t="shared" si="2"/>
        <v>0.0928772408408904</v>
      </c>
      <c r="L28" s="266">
        <f t="shared" si="2"/>
        <v>0.09928994693014283</v>
      </c>
      <c r="M28" s="266">
        <f t="shared" si="2"/>
        <v>0.11100953540907296</v>
      </c>
      <c r="N28" s="266">
        <f t="shared" si="2"/>
        <v>0.1216048532834355</v>
      </c>
      <c r="O28" s="267">
        <f t="shared" si="2"/>
        <v>0.13134825363297953</v>
      </c>
    </row>
    <row r="29" spans="2:21" s="261" customFormat="1" ht="54" customHeight="1" thickBot="1">
      <c r="B29" s="268" t="s">
        <v>124</v>
      </c>
      <c r="C29" s="264" t="s">
        <v>125</v>
      </c>
      <c r="D29" s="216">
        <f aca="true" t="shared" si="3" ref="D29:O29">($D$15/$D$14)*SQRT(D24/100)</f>
        <v>0.48386913708646606</v>
      </c>
      <c r="E29" s="214">
        <f t="shared" si="3"/>
        <v>0.6842942960814467</v>
      </c>
      <c r="F29" s="214">
        <f t="shared" si="3"/>
        <v>0.9677382741729321</v>
      </c>
      <c r="G29" s="214">
        <f t="shared" si="3"/>
        <v>1.1852324881426461</v>
      </c>
      <c r="H29" s="214">
        <f t="shared" si="3"/>
        <v>1.3685885921628933</v>
      </c>
      <c r="I29" s="214">
        <f t="shared" si="3"/>
        <v>1.5301285626534826</v>
      </c>
      <c r="J29" s="214">
        <f t="shared" si="3"/>
        <v>1.6761718592965387</v>
      </c>
      <c r="K29" s="214">
        <f t="shared" si="3"/>
        <v>1.8104725310115088</v>
      </c>
      <c r="L29" s="214">
        <f t="shared" si="3"/>
        <v>1.9354765483458642</v>
      </c>
      <c r="M29" s="214">
        <f t="shared" si="3"/>
        <v>2.1639285654790053</v>
      </c>
      <c r="N29" s="214">
        <f t="shared" si="3"/>
        <v>2.3704649762852923</v>
      </c>
      <c r="O29" s="212">
        <f t="shared" si="3"/>
        <v>2.5603948076604195</v>
      </c>
      <c r="Q29" s="256"/>
      <c r="R29" s="269"/>
      <c r="S29" s="269"/>
      <c r="T29" s="269"/>
      <c r="U29" s="269"/>
    </row>
    <row r="30" spans="2:22" s="261" customFormat="1" ht="12.75" customHeight="1">
      <c r="B30" s="270"/>
      <c r="C30" s="271"/>
      <c r="O30" s="272"/>
      <c r="Q30" s="39"/>
      <c r="R30" s="40"/>
      <c r="S30" s="40"/>
      <c r="T30" s="41"/>
      <c r="U30" s="42"/>
      <c r="V30" s="43"/>
    </row>
    <row r="31" spans="2:22" s="261" customFormat="1" ht="18" customHeight="1">
      <c r="B31" s="270"/>
      <c r="C31" s="271"/>
      <c r="D31" s="220" t="s">
        <v>31</v>
      </c>
      <c r="E31" s="1005" t="s">
        <v>134</v>
      </c>
      <c r="F31" s="1005"/>
      <c r="G31" s="241"/>
      <c r="H31" s="273"/>
      <c r="I31" s="273"/>
      <c r="J31" s="273"/>
      <c r="K31" s="273"/>
      <c r="L31" s="273"/>
      <c r="O31" s="272"/>
      <c r="Q31" s="44"/>
      <c r="R31" s="36"/>
      <c r="S31" s="36"/>
      <c r="T31" s="32"/>
      <c r="U31" s="4"/>
      <c r="V31" s="50"/>
    </row>
    <row r="32" spans="2:22" s="261" customFormat="1" ht="14.25" customHeight="1">
      <c r="B32" s="270"/>
      <c r="C32" s="271"/>
      <c r="D32" s="273"/>
      <c r="E32" s="273"/>
      <c r="F32" s="273"/>
      <c r="G32" s="273"/>
      <c r="H32" s="273"/>
      <c r="I32" s="273"/>
      <c r="J32" s="273"/>
      <c r="K32" s="273"/>
      <c r="L32" s="273"/>
      <c r="O32" s="272"/>
      <c r="Q32" s="274" t="s">
        <v>126</v>
      </c>
      <c r="R32" s="275">
        <v>0.9</v>
      </c>
      <c r="S32" s="276"/>
      <c r="T32" s="277" t="s">
        <v>127</v>
      </c>
      <c r="U32" s="278">
        <v>7.55</v>
      </c>
      <c r="V32" s="45"/>
    </row>
    <row r="33" spans="2:22" ht="18" customHeight="1">
      <c r="B33" s="198"/>
      <c r="C33" s="194"/>
      <c r="D33" s="220" t="s">
        <v>31</v>
      </c>
      <c r="E33" s="229" t="s">
        <v>25</v>
      </c>
      <c r="F33" s="229"/>
      <c r="G33" s="229"/>
      <c r="H33" s="229"/>
      <c r="I33" s="229"/>
      <c r="J33" s="229"/>
      <c r="K33" s="229"/>
      <c r="L33" s="229"/>
      <c r="M33" s="194"/>
      <c r="N33" s="194"/>
      <c r="O33" s="222"/>
      <c r="Q33" s="274" t="s">
        <v>126</v>
      </c>
      <c r="R33" s="275">
        <v>0.9</v>
      </c>
      <c r="S33" s="276"/>
      <c r="T33" s="277" t="s">
        <v>127</v>
      </c>
      <c r="U33" s="278">
        <v>13.05</v>
      </c>
      <c r="V33" s="45"/>
    </row>
    <row r="34" spans="2:22" ht="15" customHeight="1">
      <c r="B34" s="198"/>
      <c r="C34" s="194"/>
      <c r="D34" s="220" t="s">
        <v>32</v>
      </c>
      <c r="E34" s="229" t="s">
        <v>26</v>
      </c>
      <c r="F34" s="229"/>
      <c r="G34" s="229"/>
      <c r="H34" s="229"/>
      <c r="I34" s="229"/>
      <c r="J34" s="229"/>
      <c r="K34" s="229"/>
      <c r="L34" s="229"/>
      <c r="M34" s="194"/>
      <c r="N34" s="194"/>
      <c r="O34" s="222"/>
      <c r="Q34" s="47" t="s">
        <v>22</v>
      </c>
      <c r="R34" s="28" t="s">
        <v>21</v>
      </c>
      <c r="S34" s="28" t="s">
        <v>23</v>
      </c>
      <c r="T34" s="37"/>
      <c r="U34" s="18"/>
      <c r="V34" s="48"/>
    </row>
    <row r="35" spans="2:22" ht="15" customHeight="1" thickBot="1">
      <c r="B35" s="198"/>
      <c r="C35" s="194"/>
      <c r="D35" s="220" t="s">
        <v>135</v>
      </c>
      <c r="E35" s="229" t="s">
        <v>27</v>
      </c>
      <c r="F35" s="229"/>
      <c r="G35" s="229"/>
      <c r="H35" s="229"/>
      <c r="I35" s="229"/>
      <c r="J35" s="991" t="s">
        <v>128</v>
      </c>
      <c r="K35" s="991"/>
      <c r="L35" s="279">
        <f>U32</f>
        <v>7.55</v>
      </c>
      <c r="M35" s="194"/>
      <c r="N35" s="194"/>
      <c r="O35" s="222"/>
      <c r="Q35" s="113">
        <f>R23</f>
        <v>0.4964497346507142</v>
      </c>
      <c r="R35" s="30"/>
      <c r="S35" s="26"/>
      <c r="T35" s="114"/>
      <c r="U35" s="3"/>
      <c r="V35" s="115"/>
    </row>
    <row r="36" spans="2:22" ht="15" customHeight="1">
      <c r="B36" s="198"/>
      <c r="C36" s="194"/>
      <c r="D36" s="220" t="s">
        <v>136</v>
      </c>
      <c r="E36" s="229" t="s">
        <v>27</v>
      </c>
      <c r="F36" s="229"/>
      <c r="G36" s="229"/>
      <c r="H36" s="229"/>
      <c r="I36" s="229"/>
      <c r="J36" s="991" t="s">
        <v>129</v>
      </c>
      <c r="K36" s="991"/>
      <c r="L36" s="279">
        <f>U33</f>
        <v>13.05</v>
      </c>
      <c r="M36" s="194"/>
      <c r="N36" s="194"/>
      <c r="O36" s="222"/>
      <c r="Q36" s="280" t="s">
        <v>40</v>
      </c>
      <c r="R36" s="108">
        <f>((0.278*$K$17*POWER(10,-6)*(($R$32*$U$32))))</f>
        <v>0.00023801526000000002</v>
      </c>
      <c r="S36" s="109"/>
      <c r="T36" s="107"/>
      <c r="U36" s="110"/>
      <c r="V36" s="281"/>
    </row>
    <row r="37" spans="2:22" ht="15" customHeight="1" thickBot="1">
      <c r="B37" s="198"/>
      <c r="C37" s="194"/>
      <c r="D37" s="282" t="s">
        <v>137</v>
      </c>
      <c r="E37" s="283" t="s">
        <v>130</v>
      </c>
      <c r="F37" s="284"/>
      <c r="G37" s="284"/>
      <c r="H37" s="284"/>
      <c r="I37" s="284"/>
      <c r="J37" s="284"/>
      <c r="K37" s="284"/>
      <c r="L37" s="285"/>
      <c r="M37" s="194"/>
      <c r="N37" s="194"/>
      <c r="O37" s="222"/>
      <c r="Q37" s="53" t="s">
        <v>41</v>
      </c>
      <c r="R37" s="54">
        <f>((0.278*$K$17*POWER(10,-6)*(($R$33*$U$33))))</f>
        <v>0.0004114038600000001</v>
      </c>
      <c r="S37" s="55"/>
      <c r="T37" s="56"/>
      <c r="U37" s="57"/>
      <c r="V37" s="59"/>
    </row>
    <row r="38" spans="2:15" ht="15" customHeight="1">
      <c r="B38" s="198"/>
      <c r="C38" s="194"/>
      <c r="M38" s="194"/>
      <c r="N38" s="194"/>
      <c r="O38" s="222"/>
    </row>
    <row r="39" spans="2:20" ht="12" customHeight="1">
      <c r="B39" s="286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87"/>
      <c r="R39" s="163"/>
      <c r="S39" s="163"/>
      <c r="T39" s="288"/>
    </row>
    <row r="40" spans="8:22" s="194" customFormat="1" ht="15.75" customHeight="1">
      <c r="H40" s="229"/>
      <c r="Q40" s="100"/>
      <c r="R40" s="163"/>
      <c r="S40" s="163"/>
      <c r="T40" s="288"/>
      <c r="U40" s="100"/>
      <c r="V40" s="100"/>
    </row>
    <row r="41" ht="12">
      <c r="H41" s="194"/>
    </row>
  </sheetData>
  <sheetProtection/>
  <mergeCells count="46">
    <mergeCell ref="F4:O4"/>
    <mergeCell ref="E31:F31"/>
    <mergeCell ref="B14:C14"/>
    <mergeCell ref="B15:C15"/>
    <mergeCell ref="B16:C16"/>
    <mergeCell ref="B18:C18"/>
    <mergeCell ref="F24:F25"/>
    <mergeCell ref="B23:C24"/>
    <mergeCell ref="E24:E25"/>
    <mergeCell ref="B17:C17"/>
    <mergeCell ref="B26:B27"/>
    <mergeCell ref="R8:S8"/>
    <mergeCell ref="Q22:Q23"/>
    <mergeCell ref="I24:I25"/>
    <mergeCell ref="G24:G25"/>
    <mergeCell ref="J35:K35"/>
    <mergeCell ref="M24:M25"/>
    <mergeCell ref="D24:D25"/>
    <mergeCell ref="D12:M12"/>
    <mergeCell ref="D10:M10"/>
    <mergeCell ref="J36:K36"/>
    <mergeCell ref="L14:N14"/>
    <mergeCell ref="N24:N25"/>
    <mergeCell ref="J24:J25"/>
    <mergeCell ref="D22:O23"/>
    <mergeCell ref="H24:H25"/>
    <mergeCell ref="O24:O25"/>
    <mergeCell ref="J14:K14"/>
    <mergeCell ref="K24:K25"/>
    <mergeCell ref="L24:L25"/>
    <mergeCell ref="AG5:AI5"/>
    <mergeCell ref="AA9:AG9"/>
    <mergeCell ref="AB10:AG10"/>
    <mergeCell ref="AM11:AN11"/>
    <mergeCell ref="D7:M7"/>
    <mergeCell ref="D8:M8"/>
    <mergeCell ref="F5:O5"/>
    <mergeCell ref="B2:E5"/>
    <mergeCell ref="F2:O2"/>
    <mergeCell ref="F3:O3"/>
    <mergeCell ref="AC12:AD12"/>
    <mergeCell ref="AA13:AA14"/>
    <mergeCell ref="AD13:AE13"/>
    <mergeCell ref="AG13:AI13"/>
    <mergeCell ref="AB14:AD14"/>
    <mergeCell ref="AG14:AI14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3"/>
  <legacyDrawing r:id="rId2"/>
  <oleObjects>
    <oleObject progId="Equation.3" shapeId="2391527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B1:AN41"/>
  <sheetViews>
    <sheetView zoomScalePageLayoutView="0" workbookViewId="0" topLeftCell="A1">
      <selection activeCell="L14" sqref="L14:N14"/>
    </sheetView>
  </sheetViews>
  <sheetFormatPr defaultColWidth="9.140625" defaultRowHeight="12.75"/>
  <cols>
    <col min="1" max="1" width="2.421875" style="100" customWidth="1"/>
    <col min="2" max="2" width="5.28125" style="100" customWidth="1"/>
    <col min="3" max="3" width="5.421875" style="100" customWidth="1"/>
    <col min="4" max="4" width="8.28125" style="100" customWidth="1"/>
    <col min="5" max="6" width="6.00390625" style="100" customWidth="1"/>
    <col min="7" max="10" width="5.7109375" style="100" customWidth="1"/>
    <col min="11" max="11" width="6.421875" style="100" customWidth="1"/>
    <col min="12" max="15" width="6.00390625" style="100" customWidth="1"/>
    <col min="16" max="16" width="3.140625" style="100" customWidth="1"/>
    <col min="17" max="17" width="10.28125" style="100" customWidth="1"/>
    <col min="18" max="18" width="9.421875" style="100" bestFit="1" customWidth="1"/>
    <col min="19" max="19" width="7.140625" style="100" customWidth="1"/>
    <col min="20" max="20" width="7.421875" style="100" customWidth="1"/>
    <col min="21" max="21" width="5.8515625" style="100" customWidth="1"/>
    <col min="22" max="22" width="1.421875" style="100" customWidth="1"/>
    <col min="23" max="25" width="9.140625" style="100" customWidth="1"/>
    <col min="26" max="26" width="2.421875" style="100" customWidth="1"/>
    <col min="27" max="30" width="9.140625" style="100" customWidth="1"/>
    <col min="31" max="31" width="8.140625" style="100" customWidth="1"/>
    <col min="32" max="32" width="2.00390625" style="100" customWidth="1"/>
    <col min="33" max="33" width="5.7109375" style="100" customWidth="1"/>
    <col min="34" max="34" width="3.28125" style="100" customWidth="1"/>
    <col min="35" max="35" width="4.8515625" style="100" customWidth="1"/>
    <col min="36" max="36" width="6.421875" style="100" customWidth="1"/>
    <col min="37" max="38" width="3.7109375" style="100" customWidth="1"/>
    <col min="39" max="16384" width="9.140625" style="100" customWidth="1"/>
  </cols>
  <sheetData>
    <row r="1" ht="4.5" customHeight="1">
      <c r="H1" s="221"/>
    </row>
    <row r="2" spans="2:15" ht="19.5" customHeight="1">
      <c r="B2" s="982"/>
      <c r="C2" s="983"/>
      <c r="D2" s="983"/>
      <c r="E2" s="984"/>
      <c r="F2" s="861" t="str">
        <f>'[3]BASE'!G2</f>
        <v>PROJETO  DE  DRENAGEM</v>
      </c>
      <c r="G2" s="862"/>
      <c r="H2" s="862"/>
      <c r="I2" s="862"/>
      <c r="J2" s="862"/>
      <c r="K2" s="862"/>
      <c r="L2" s="862"/>
      <c r="M2" s="862"/>
      <c r="N2" s="862"/>
      <c r="O2" s="863"/>
    </row>
    <row r="3" spans="2:40" ht="19.5" customHeight="1">
      <c r="B3" s="985"/>
      <c r="C3" s="986"/>
      <c r="D3" s="986"/>
      <c r="E3" s="987"/>
      <c r="F3" s="864" t="str">
        <f>'[3]BASE'!G3</f>
        <v>RODOVIA : BR-050/MG</v>
      </c>
      <c r="G3" s="865"/>
      <c r="H3" s="865"/>
      <c r="I3" s="865"/>
      <c r="J3" s="865"/>
      <c r="K3" s="865"/>
      <c r="L3" s="865"/>
      <c r="M3" s="865"/>
      <c r="N3" s="865"/>
      <c r="O3" s="866"/>
      <c r="W3" s="2"/>
      <c r="X3" s="2"/>
      <c r="Y3" s="129"/>
      <c r="Z3" s="12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0" ht="19.5" customHeight="1" thickBot="1">
      <c r="B4" s="985"/>
      <c r="C4" s="986"/>
      <c r="D4" s="986"/>
      <c r="E4" s="987"/>
      <c r="F4" s="864" t="str">
        <f>'[3]BASE'!G4</f>
        <v>TRECHO: </v>
      </c>
      <c r="G4" s="865"/>
      <c r="H4" s="865"/>
      <c r="I4" s="865"/>
      <c r="J4" s="865"/>
      <c r="K4" s="865"/>
      <c r="L4" s="865"/>
      <c r="M4" s="865"/>
      <c r="N4" s="865"/>
      <c r="O4" s="866"/>
      <c r="W4" s="14" t="s">
        <v>60</v>
      </c>
      <c r="X4" s="2" t="s">
        <v>61</v>
      </c>
      <c r="Y4" s="2"/>
      <c r="Z4" s="2"/>
      <c r="AA4" s="2"/>
      <c r="AB4" s="2"/>
      <c r="AC4" s="133" t="s">
        <v>62</v>
      </c>
      <c r="AD4" s="134" t="s">
        <v>63</v>
      </c>
      <c r="AE4" s="135" t="s">
        <v>64</v>
      </c>
      <c r="AF4" s="37" t="s">
        <v>33</v>
      </c>
      <c r="AG4" s="136" t="s">
        <v>65</v>
      </c>
      <c r="AH4" s="137" t="s">
        <v>33</v>
      </c>
      <c r="AI4" s="138" t="s">
        <v>66</v>
      </c>
      <c r="AJ4" s="139" t="s">
        <v>67</v>
      </c>
      <c r="AK4" s="140" t="s">
        <v>33</v>
      </c>
      <c r="AL4" s="141" t="s">
        <v>66</v>
      </c>
      <c r="AM4" s="2"/>
      <c r="AN4" s="2"/>
    </row>
    <row r="5" spans="2:40" ht="19.5" customHeight="1">
      <c r="B5" s="988"/>
      <c r="C5" s="989"/>
      <c r="D5" s="989"/>
      <c r="E5" s="990"/>
      <c r="F5" s="908" t="str">
        <f>'[3]BASE'!G5</f>
        <v>SUBTRECHO: Rio Caçu - Divisa MG/SP ( Delta )</v>
      </c>
      <c r="G5" s="909"/>
      <c r="H5" s="909"/>
      <c r="I5" s="909"/>
      <c r="J5" s="909"/>
      <c r="K5" s="909"/>
      <c r="L5" s="909"/>
      <c r="M5" s="909"/>
      <c r="N5" s="909"/>
      <c r="O5" s="910"/>
      <c r="W5" s="2"/>
      <c r="X5" s="14"/>
      <c r="Y5" s="2"/>
      <c r="Z5" s="2"/>
      <c r="AA5" s="2"/>
      <c r="AB5" s="2"/>
      <c r="AC5" s="2"/>
      <c r="AD5" s="142"/>
      <c r="AE5" s="143"/>
      <c r="AF5" s="144"/>
      <c r="AG5" s="838" t="s">
        <v>68</v>
      </c>
      <c r="AH5" s="838"/>
      <c r="AI5" s="839"/>
      <c r="AJ5" s="2"/>
      <c r="AK5" s="2"/>
      <c r="AL5" s="2"/>
      <c r="AM5" s="2"/>
      <c r="AN5" s="2"/>
    </row>
    <row r="6" spans="2:40" ht="12.75">
      <c r="B6" s="198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222"/>
      <c r="Q6" s="223" t="s">
        <v>115</v>
      </c>
      <c r="R6" s="193">
        <v>0.1082</v>
      </c>
      <c r="S6" s="193" t="s">
        <v>8</v>
      </c>
      <c r="T6" s="192"/>
      <c r="U6" s="19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2:40" ht="21" customHeight="1">
      <c r="B7" s="198"/>
      <c r="C7" s="194"/>
      <c r="D7" s="811" t="s">
        <v>49</v>
      </c>
      <c r="E7" s="811"/>
      <c r="F7" s="811"/>
      <c r="G7" s="811"/>
      <c r="H7" s="811"/>
      <c r="I7" s="811"/>
      <c r="J7" s="811"/>
      <c r="K7" s="811"/>
      <c r="L7" s="811"/>
      <c r="M7" s="811"/>
      <c r="N7" s="215"/>
      <c r="O7" s="222"/>
      <c r="P7" s="194"/>
      <c r="Q7" s="223" t="s">
        <v>131</v>
      </c>
      <c r="R7" s="224">
        <f>(R23/R6)</f>
        <v>11.39818861765364</v>
      </c>
      <c r="S7" s="225" t="s">
        <v>113</v>
      </c>
      <c r="T7" s="192"/>
      <c r="U7" s="192"/>
      <c r="W7" s="14" t="s">
        <v>69</v>
      </c>
      <c r="X7" s="2" t="s">
        <v>70</v>
      </c>
      <c r="Y7" s="2"/>
      <c r="Z7" s="75"/>
      <c r="AA7" s="145" t="s">
        <v>71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2:40" ht="12.75" customHeight="1">
      <c r="B8" s="191"/>
      <c r="C8" s="190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215"/>
      <c r="O8" s="222"/>
      <c r="P8" s="194"/>
      <c r="Q8" s="195"/>
      <c r="R8" s="1000" t="s">
        <v>64</v>
      </c>
      <c r="S8" s="1000"/>
      <c r="T8" s="196"/>
      <c r="U8" s="197"/>
      <c r="W8" s="14" t="s">
        <v>69</v>
      </c>
      <c r="X8" s="2" t="s">
        <v>70</v>
      </c>
      <c r="Y8" s="2"/>
      <c r="Z8" s="75"/>
      <c r="AA8" s="145" t="s">
        <v>72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</row>
    <row r="9" spans="2:40" ht="12.75" customHeight="1">
      <c r="B9" s="198"/>
      <c r="C9" s="194"/>
      <c r="D9" s="194"/>
      <c r="E9" s="226"/>
      <c r="F9" s="194"/>
      <c r="G9" s="194"/>
      <c r="H9" s="194"/>
      <c r="I9" s="194"/>
      <c r="J9" s="194"/>
      <c r="K9" s="194"/>
      <c r="L9" s="194"/>
      <c r="M9" s="194"/>
      <c r="N9" s="194"/>
      <c r="O9" s="222"/>
      <c r="Q9" s="198"/>
      <c r="R9" s="194"/>
      <c r="S9" s="194"/>
      <c r="T9" s="194"/>
      <c r="U9" s="199"/>
      <c r="W9" s="14" t="s">
        <v>69</v>
      </c>
      <c r="X9" s="2" t="s">
        <v>70</v>
      </c>
      <c r="Y9" s="2"/>
      <c r="Z9" s="146" t="s">
        <v>73</v>
      </c>
      <c r="AA9" s="840" t="s">
        <v>74</v>
      </c>
      <c r="AB9" s="840"/>
      <c r="AC9" s="840"/>
      <c r="AD9" s="840"/>
      <c r="AE9" s="840"/>
      <c r="AF9" s="840"/>
      <c r="AG9" s="840"/>
      <c r="AH9" s="148" t="s">
        <v>75</v>
      </c>
      <c r="AI9" s="2" t="s">
        <v>33</v>
      </c>
      <c r="AJ9" s="290" t="s">
        <v>138</v>
      </c>
      <c r="AK9" s="192"/>
      <c r="AL9" s="2"/>
      <c r="AM9" s="149"/>
      <c r="AN9" s="150"/>
    </row>
    <row r="10" spans="2:40" ht="18" customHeight="1">
      <c r="B10" s="198"/>
      <c r="C10" s="194"/>
      <c r="D10" s="1004" t="s">
        <v>178</v>
      </c>
      <c r="E10" s="1004"/>
      <c r="F10" s="1004"/>
      <c r="G10" s="1004"/>
      <c r="H10" s="1004"/>
      <c r="I10" s="1004"/>
      <c r="J10" s="1004"/>
      <c r="K10" s="1004"/>
      <c r="L10" s="1004"/>
      <c r="M10" s="1004"/>
      <c r="N10" s="194"/>
      <c r="O10" s="222"/>
      <c r="Q10" s="200" t="s">
        <v>103</v>
      </c>
      <c r="R10" s="7" t="s">
        <v>104</v>
      </c>
      <c r="S10" s="7" t="s">
        <v>68</v>
      </c>
      <c r="T10" s="7" t="s">
        <v>105</v>
      </c>
      <c r="U10" s="201" t="s">
        <v>106</v>
      </c>
      <c r="W10" s="14" t="s">
        <v>69</v>
      </c>
      <c r="X10" s="2" t="s">
        <v>70</v>
      </c>
      <c r="Y10" s="2"/>
      <c r="Z10" s="146" t="s">
        <v>73</v>
      </c>
      <c r="AA10" s="151" t="s">
        <v>76</v>
      </c>
      <c r="AB10" s="840" t="s">
        <v>77</v>
      </c>
      <c r="AC10" s="840"/>
      <c r="AD10" s="840"/>
      <c r="AE10" s="840"/>
      <c r="AF10" s="840"/>
      <c r="AG10" s="840"/>
      <c r="AH10" s="148" t="s">
        <v>75</v>
      </c>
      <c r="AI10" s="2" t="s">
        <v>33</v>
      </c>
      <c r="AJ10" s="290" t="s">
        <v>138</v>
      </c>
      <c r="AK10" s="192"/>
      <c r="AL10" s="2"/>
      <c r="AM10" s="5"/>
      <c r="AN10" s="152"/>
    </row>
    <row r="11" spans="2:40" ht="12.75" customHeight="1">
      <c r="B11" s="198"/>
      <c r="C11" s="194"/>
      <c r="M11" s="194"/>
      <c r="N11" s="194"/>
      <c r="O11" s="222"/>
      <c r="Q11" s="200">
        <v>0.00175</v>
      </c>
      <c r="R11" s="16">
        <v>0.1</v>
      </c>
      <c r="S11" s="227">
        <f>D18</f>
        <v>0.015</v>
      </c>
      <c r="T11" s="295">
        <v>12.5</v>
      </c>
      <c r="U11" s="202"/>
      <c r="W11" s="2"/>
      <c r="X11" s="153" t="s">
        <v>60</v>
      </c>
      <c r="Y11" s="154" t="s">
        <v>78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89" t="s">
        <v>138</v>
      </c>
      <c r="AK11" s="155"/>
      <c r="AL11" s="155"/>
      <c r="AM11" s="980" t="s">
        <v>79</v>
      </c>
      <c r="AN11" s="981"/>
    </row>
    <row r="12" spans="2:40" ht="12.75" customHeight="1">
      <c r="B12" s="228"/>
      <c r="C12" s="229"/>
      <c r="D12" s="1003" t="s">
        <v>116</v>
      </c>
      <c r="E12" s="1003"/>
      <c r="F12" s="1003"/>
      <c r="G12" s="1003"/>
      <c r="H12" s="1003"/>
      <c r="I12" s="1003"/>
      <c r="J12" s="1003"/>
      <c r="K12" s="1003"/>
      <c r="L12" s="1003"/>
      <c r="M12" s="1003"/>
      <c r="N12" s="229"/>
      <c r="O12" s="222"/>
      <c r="Q12" s="200">
        <v>0.00175</v>
      </c>
      <c r="R12" s="16">
        <v>0.1</v>
      </c>
      <c r="S12" s="7">
        <f>S11</f>
        <v>0.015</v>
      </c>
      <c r="T12" s="177">
        <v>7.5</v>
      </c>
      <c r="U12" s="201"/>
      <c r="W12" s="2"/>
      <c r="X12" s="2"/>
      <c r="Y12" s="2"/>
      <c r="Z12" s="2"/>
      <c r="AA12" s="2"/>
      <c r="AB12" s="156" t="s">
        <v>80</v>
      </c>
      <c r="AC12" s="978" t="s">
        <v>81</v>
      </c>
      <c r="AD12" s="979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2:40" ht="12.75" customHeight="1">
      <c r="B13" s="230"/>
      <c r="C13" s="220"/>
      <c r="D13" s="231"/>
      <c r="E13" s="231"/>
      <c r="F13" s="231"/>
      <c r="G13" s="231"/>
      <c r="H13" s="231"/>
      <c r="I13" s="231"/>
      <c r="J13" s="232"/>
      <c r="K13" s="232"/>
      <c r="L13" s="232"/>
      <c r="M13" s="232"/>
      <c r="N13" s="232"/>
      <c r="O13" s="222"/>
      <c r="Q13" s="200">
        <v>0.00175</v>
      </c>
      <c r="R13" s="16">
        <v>0.05</v>
      </c>
      <c r="S13" s="7">
        <f>S11</f>
        <v>0.015</v>
      </c>
      <c r="T13" s="177">
        <f>T12</f>
        <v>7.5</v>
      </c>
      <c r="U13" s="201"/>
      <c r="W13" s="2"/>
      <c r="X13" s="2"/>
      <c r="Y13" s="2"/>
      <c r="Z13" s="2"/>
      <c r="AA13" s="841" t="s">
        <v>31</v>
      </c>
      <c r="AB13" s="164" t="s">
        <v>82</v>
      </c>
      <c r="AC13" s="157" t="s">
        <v>33</v>
      </c>
      <c r="AD13" s="843" t="s">
        <v>83</v>
      </c>
      <c r="AE13" s="844"/>
      <c r="AF13" s="147"/>
      <c r="AG13" s="845" t="s">
        <v>84</v>
      </c>
      <c r="AH13" s="845"/>
      <c r="AI13" s="845"/>
      <c r="AJ13" s="162">
        <v>0.7562</v>
      </c>
      <c r="AK13" s="2"/>
      <c r="AL13" s="2"/>
      <c r="AM13" s="158"/>
      <c r="AN13" s="159"/>
    </row>
    <row r="14" spans="2:40" ht="12.75" customHeight="1">
      <c r="B14" s="960" t="s">
        <v>4</v>
      </c>
      <c r="C14" s="961"/>
      <c r="D14" s="233">
        <f>R6</f>
        <v>0.1082</v>
      </c>
      <c r="E14" s="229" t="s">
        <v>8</v>
      </c>
      <c r="F14" s="231"/>
      <c r="G14" s="231"/>
      <c r="H14" s="231"/>
      <c r="I14" s="231"/>
      <c r="J14" s="963" t="s">
        <v>51</v>
      </c>
      <c r="K14" s="963"/>
      <c r="L14" s="977" t="str">
        <f>'BASE '!$L$14</f>
        <v>São Luís Ma</v>
      </c>
      <c r="M14" s="977"/>
      <c r="N14" s="977"/>
      <c r="O14" s="222"/>
      <c r="Q14" s="200"/>
      <c r="R14" s="7"/>
      <c r="S14" s="7"/>
      <c r="T14" s="7"/>
      <c r="U14" s="201"/>
      <c r="W14" s="2"/>
      <c r="X14" s="2"/>
      <c r="Y14" s="2"/>
      <c r="Z14" s="2"/>
      <c r="AA14" s="842"/>
      <c r="AB14" s="846" t="s">
        <v>85</v>
      </c>
      <c r="AC14" s="846"/>
      <c r="AD14" s="846"/>
      <c r="AE14" s="160"/>
      <c r="AF14" s="147"/>
      <c r="AG14" s="847" t="s">
        <v>86</v>
      </c>
      <c r="AH14" s="847"/>
      <c r="AI14" s="847"/>
      <c r="AJ14" s="161">
        <v>39.401</v>
      </c>
      <c r="AK14" s="2"/>
      <c r="AL14" s="2"/>
      <c r="AM14" s="166"/>
      <c r="AN14" s="2"/>
    </row>
    <row r="15" spans="2:40" ht="12.75" customHeight="1">
      <c r="B15" s="960" t="s">
        <v>117</v>
      </c>
      <c r="C15" s="961"/>
      <c r="D15" s="233">
        <f>R23</f>
        <v>1.2332840084301238</v>
      </c>
      <c r="E15" s="234" t="s">
        <v>132</v>
      </c>
      <c r="F15" s="229" t="s">
        <v>111</v>
      </c>
      <c r="G15" s="229"/>
      <c r="H15" s="229"/>
      <c r="I15" s="229"/>
      <c r="J15" s="220" t="s">
        <v>18</v>
      </c>
      <c r="K15" s="3">
        <f>'BASE '!K15</f>
        <v>10</v>
      </c>
      <c r="L15" s="229" t="s">
        <v>12</v>
      </c>
      <c r="M15" s="229"/>
      <c r="N15" s="229"/>
      <c r="O15" s="222"/>
      <c r="Q15" s="200"/>
      <c r="R15" s="7"/>
      <c r="S15" s="7"/>
      <c r="T15" s="7"/>
      <c r="U15" s="20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63"/>
      <c r="AN15" s="2"/>
    </row>
    <row r="16" spans="2:21" ht="12.75" customHeight="1">
      <c r="B16" s="960" t="s">
        <v>118</v>
      </c>
      <c r="C16" s="961"/>
      <c r="D16" s="235">
        <f>(0.278*$K$17*((L35*0.9))*POWER(10,-5))</f>
        <v>0.003940650000000001</v>
      </c>
      <c r="E16" s="234" t="s">
        <v>132</v>
      </c>
      <c r="F16" s="229" t="s">
        <v>111</v>
      </c>
      <c r="H16" s="229"/>
      <c r="I16" s="229"/>
      <c r="J16" s="220" t="s">
        <v>17</v>
      </c>
      <c r="K16" s="3">
        <f>'BASE '!K16</f>
        <v>10</v>
      </c>
      <c r="L16" s="229" t="s">
        <v>13</v>
      </c>
      <c r="M16" s="229"/>
      <c r="N16" s="229"/>
      <c r="O16" s="222"/>
      <c r="Q16" s="200" t="s">
        <v>107</v>
      </c>
      <c r="R16" s="203">
        <f>Q11*((1/R11)/S11)*POWER(T11,8/3)</f>
        <v>981.8387259259893</v>
      </c>
      <c r="S16" s="7"/>
      <c r="T16" s="7"/>
      <c r="U16" s="201"/>
    </row>
    <row r="17" spans="2:21" ht="12.75" customHeight="1">
      <c r="B17" s="960" t="s">
        <v>119</v>
      </c>
      <c r="C17" s="961"/>
      <c r="D17" s="235">
        <f>(0.278*$K$17*((L36*0.9))*POWER(10,-5))</f>
        <v>0.003940650000000001</v>
      </c>
      <c r="E17" s="234" t="s">
        <v>132</v>
      </c>
      <c r="F17" s="229" t="s">
        <v>111</v>
      </c>
      <c r="G17" s="229"/>
      <c r="H17" s="229"/>
      <c r="I17" s="229"/>
      <c r="J17" s="220" t="s">
        <v>19</v>
      </c>
      <c r="K17" s="236">
        <f>'BASE '!K17</f>
        <v>126</v>
      </c>
      <c r="L17" s="229" t="s">
        <v>14</v>
      </c>
      <c r="M17" s="229"/>
      <c r="N17" s="229"/>
      <c r="O17" s="222"/>
      <c r="Q17" s="200" t="s">
        <v>108</v>
      </c>
      <c r="R17" s="203">
        <f>Q12*((1/R12)/S12)*POWER(T12,8/3)</f>
        <v>251.4452825041345</v>
      </c>
      <c r="S17" s="7"/>
      <c r="T17" s="7"/>
      <c r="U17" s="201"/>
    </row>
    <row r="18" spans="2:22" ht="12.75" customHeight="1">
      <c r="B18" s="960" t="s">
        <v>9</v>
      </c>
      <c r="C18" s="961"/>
      <c r="D18" s="233">
        <f>'[3]BASE'!D17</f>
        <v>0.015</v>
      </c>
      <c r="E18" s="229"/>
      <c r="F18" s="229"/>
      <c r="G18" s="229"/>
      <c r="H18" s="229"/>
      <c r="I18" s="229"/>
      <c r="J18" s="231"/>
      <c r="K18" s="231"/>
      <c r="L18" s="231"/>
      <c r="M18" s="231"/>
      <c r="N18" s="231"/>
      <c r="O18" s="237"/>
      <c r="P18" s="238"/>
      <c r="Q18" s="200" t="s">
        <v>109</v>
      </c>
      <c r="R18" s="203">
        <f>Q13*((1/R13)/S13)*POWER(T13,8/3)</f>
        <v>502.890565008269</v>
      </c>
      <c r="S18" s="7"/>
      <c r="T18" s="7"/>
      <c r="U18" s="201"/>
      <c r="V18" s="194"/>
    </row>
    <row r="19" spans="2:22" ht="12.75" customHeight="1">
      <c r="B19" s="296" t="s">
        <v>120</v>
      </c>
      <c r="C19" s="297"/>
      <c r="D19" s="294">
        <v>1.5</v>
      </c>
      <c r="E19" s="298" t="s">
        <v>7</v>
      </c>
      <c r="F19" s="229"/>
      <c r="G19" s="229"/>
      <c r="H19" s="229"/>
      <c r="I19" s="229"/>
      <c r="J19" s="231"/>
      <c r="K19" s="231"/>
      <c r="L19" s="231"/>
      <c r="M19" s="231"/>
      <c r="N19" s="231"/>
      <c r="O19" s="237"/>
      <c r="P19" s="238"/>
      <c r="Q19" s="200"/>
      <c r="R19" s="203"/>
      <c r="S19" s="7"/>
      <c r="T19" s="7"/>
      <c r="U19" s="201"/>
      <c r="V19" s="194"/>
    </row>
    <row r="20" spans="2:22" ht="12.75" customHeight="1">
      <c r="B20" s="239"/>
      <c r="C20" s="217"/>
      <c r="D20" s="240"/>
      <c r="E20" s="241"/>
      <c r="F20" s="194"/>
      <c r="G20" s="194"/>
      <c r="H20" s="194"/>
      <c r="I20" s="194"/>
      <c r="J20" s="238"/>
      <c r="K20" s="238"/>
      <c r="L20" s="238"/>
      <c r="M20" s="238"/>
      <c r="N20" s="238"/>
      <c r="O20" s="237"/>
      <c r="P20" s="238"/>
      <c r="Q20" s="200"/>
      <c r="R20" s="203"/>
      <c r="S20" s="7"/>
      <c r="T20" s="7"/>
      <c r="U20" s="201"/>
      <c r="V20" s="194"/>
    </row>
    <row r="21" spans="2:22" ht="12.75" customHeight="1">
      <c r="B21" s="242"/>
      <c r="C21" s="243"/>
      <c r="D21" s="244"/>
      <c r="E21" s="245"/>
      <c r="F21" s="194"/>
      <c r="G21" s="194"/>
      <c r="H21" s="194"/>
      <c r="I21" s="246"/>
      <c r="J21" s="247"/>
      <c r="K21" s="246"/>
      <c r="L21" s="247"/>
      <c r="M21" s="246"/>
      <c r="N21" s="240"/>
      <c r="O21" s="213"/>
      <c r="P21" s="248">
        <v>0.4</v>
      </c>
      <c r="Q21" s="200"/>
      <c r="R21" s="204"/>
      <c r="S21" s="7"/>
      <c r="T21" s="7"/>
      <c r="U21" s="201"/>
      <c r="V21" s="194"/>
    </row>
    <row r="22" spans="2:22" ht="15">
      <c r="B22" s="218"/>
      <c r="C22" s="219"/>
      <c r="D22" s="992" t="s">
        <v>20</v>
      </c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994"/>
      <c r="P22" s="194"/>
      <c r="Q22" s="1001" t="s">
        <v>121</v>
      </c>
      <c r="R22" s="205">
        <f>(R16-R17)+R18</f>
        <v>1233.2840084301238</v>
      </c>
      <c r="S22" s="206" t="s">
        <v>113</v>
      </c>
      <c r="T22" s="207" t="s">
        <v>110</v>
      </c>
      <c r="U22" s="201"/>
      <c r="V22" s="194"/>
    </row>
    <row r="23" spans="2:22" ht="15">
      <c r="B23" s="1006" t="s">
        <v>39</v>
      </c>
      <c r="C23" s="1007"/>
      <c r="D23" s="995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7"/>
      <c r="Q23" s="1002"/>
      <c r="R23" s="249">
        <f>R22/1000</f>
        <v>1.2332840084301238</v>
      </c>
      <c r="S23" s="208" t="s">
        <v>114</v>
      </c>
      <c r="T23" s="209" t="s">
        <v>111</v>
      </c>
      <c r="U23" s="210"/>
      <c r="V23" s="194"/>
    </row>
    <row r="24" spans="2:22" ht="12">
      <c r="B24" s="1006"/>
      <c r="C24" s="1007"/>
      <c r="D24" s="939">
        <v>0.25</v>
      </c>
      <c r="E24" s="975">
        <v>0.5</v>
      </c>
      <c r="F24" s="975">
        <v>1</v>
      </c>
      <c r="G24" s="975">
        <v>1.5</v>
      </c>
      <c r="H24" s="975">
        <v>2</v>
      </c>
      <c r="I24" s="975">
        <v>2.5</v>
      </c>
      <c r="J24" s="975">
        <v>3</v>
      </c>
      <c r="K24" s="975">
        <v>3.5</v>
      </c>
      <c r="L24" s="975">
        <v>4</v>
      </c>
      <c r="M24" s="975">
        <v>5</v>
      </c>
      <c r="N24" s="975">
        <v>6</v>
      </c>
      <c r="O24" s="973">
        <v>7</v>
      </c>
      <c r="Q24" s="250"/>
      <c r="R24" s="250"/>
      <c r="S24" s="250"/>
      <c r="T24" s="251"/>
      <c r="U24" s="219"/>
      <c r="V24" s="215"/>
    </row>
    <row r="25" spans="2:22" ht="12">
      <c r="B25" s="252"/>
      <c r="C25" s="253"/>
      <c r="D25" s="940"/>
      <c r="E25" s="976"/>
      <c r="F25" s="976"/>
      <c r="G25" s="976"/>
      <c r="H25" s="976"/>
      <c r="I25" s="976"/>
      <c r="J25" s="976"/>
      <c r="K25" s="976"/>
      <c r="L25" s="976"/>
      <c r="M25" s="976"/>
      <c r="N25" s="976"/>
      <c r="O25" s="974"/>
      <c r="Q25" s="254"/>
      <c r="R25" s="98"/>
      <c r="S25" s="255"/>
      <c r="T25" s="256"/>
      <c r="U25" s="215"/>
      <c r="V25" s="215"/>
    </row>
    <row r="26" spans="2:22" ht="49.5" customHeight="1">
      <c r="B26" s="998" t="s">
        <v>133</v>
      </c>
      <c r="C26" s="257" t="s">
        <v>40</v>
      </c>
      <c r="D26" s="258">
        <f aca="true" t="shared" si="0" ref="D26:O26">($D$15/$D$16)*SQRT(D24)</f>
        <v>156.4823072881534</v>
      </c>
      <c r="E26" s="259">
        <f t="shared" si="0"/>
        <v>221.29940123834078</v>
      </c>
      <c r="F26" s="259">
        <f t="shared" si="0"/>
        <v>312.9646145763068</v>
      </c>
      <c r="G26" s="259">
        <f t="shared" si="0"/>
        <v>383.3018066293771</v>
      </c>
      <c r="H26" s="259">
        <f t="shared" si="0"/>
        <v>442.59880247668156</v>
      </c>
      <c r="I26" s="259">
        <f t="shared" si="0"/>
        <v>494.8405045489311</v>
      </c>
      <c r="J26" s="259">
        <f t="shared" si="0"/>
        <v>542.0706134173746</v>
      </c>
      <c r="K26" s="259">
        <f t="shared" si="0"/>
        <v>585.5031809641489</v>
      </c>
      <c r="L26" s="259">
        <f t="shared" si="0"/>
        <v>625.9292291526136</v>
      </c>
      <c r="M26" s="259">
        <f t="shared" si="0"/>
        <v>699.8101527446436</v>
      </c>
      <c r="N26" s="259">
        <f t="shared" si="0"/>
        <v>766.6036132587542</v>
      </c>
      <c r="O26" s="260">
        <f t="shared" si="0"/>
        <v>828.0265393320881</v>
      </c>
      <c r="Q26" s="215"/>
      <c r="R26" s="30"/>
      <c r="S26" s="255"/>
      <c r="T26" s="215"/>
      <c r="U26" s="240"/>
      <c r="V26" s="247"/>
    </row>
    <row r="27" spans="2:15" s="261" customFormat="1" ht="49.5" customHeight="1">
      <c r="B27" s="999"/>
      <c r="C27" s="262" t="s">
        <v>41</v>
      </c>
      <c r="D27" s="258">
        <f aca="true" t="shared" si="1" ref="D27:O27">($D$15/$D$17)*SQRT(D24)</f>
        <v>156.4823072881534</v>
      </c>
      <c r="E27" s="69">
        <f t="shared" si="1"/>
        <v>221.29940123834078</v>
      </c>
      <c r="F27" s="69">
        <f t="shared" si="1"/>
        <v>312.9646145763068</v>
      </c>
      <c r="G27" s="69">
        <f t="shared" si="1"/>
        <v>383.3018066293771</v>
      </c>
      <c r="H27" s="69">
        <f t="shared" si="1"/>
        <v>442.59880247668156</v>
      </c>
      <c r="I27" s="69">
        <f t="shared" si="1"/>
        <v>494.8405045489311</v>
      </c>
      <c r="J27" s="69">
        <f t="shared" si="1"/>
        <v>542.0706134173746</v>
      </c>
      <c r="K27" s="69">
        <f t="shared" si="1"/>
        <v>585.5031809641489</v>
      </c>
      <c r="L27" s="69">
        <f t="shared" si="1"/>
        <v>625.9292291526136</v>
      </c>
      <c r="M27" s="69">
        <f t="shared" si="1"/>
        <v>699.8101527446436</v>
      </c>
      <c r="N27" s="69">
        <f t="shared" si="1"/>
        <v>766.6036132587542</v>
      </c>
      <c r="O27" s="70">
        <f t="shared" si="1"/>
        <v>828.0265393320881</v>
      </c>
    </row>
    <row r="28" spans="2:15" s="261" customFormat="1" ht="49.5" customHeight="1">
      <c r="B28" s="263" t="s">
        <v>122</v>
      </c>
      <c r="C28" s="264" t="s">
        <v>123</v>
      </c>
      <c r="D28" s="265">
        <f aca="true" t="shared" si="2" ref="D28:O28">$D$14*D29</f>
        <v>0.06166420042150619</v>
      </c>
      <c r="E28" s="266">
        <f t="shared" si="2"/>
        <v>0.08720634854898679</v>
      </c>
      <c r="F28" s="266">
        <f t="shared" si="2"/>
        <v>0.12332840084301239</v>
      </c>
      <c r="G28" s="266">
        <f t="shared" si="2"/>
        <v>0.15104582642940553</v>
      </c>
      <c r="H28" s="266">
        <f t="shared" si="2"/>
        <v>0.17441269709797358</v>
      </c>
      <c r="I28" s="266">
        <f t="shared" si="2"/>
        <v>0.1949993234250746</v>
      </c>
      <c r="J28" s="266">
        <f t="shared" si="2"/>
        <v>0.21361105627631782</v>
      </c>
      <c r="K28" s="266">
        <f t="shared" si="2"/>
        <v>0.23072631100663743</v>
      </c>
      <c r="L28" s="266">
        <f t="shared" si="2"/>
        <v>0.24665680168602477</v>
      </c>
      <c r="M28" s="266">
        <f t="shared" si="2"/>
        <v>0.27577068784131803</v>
      </c>
      <c r="N28" s="266">
        <f t="shared" si="2"/>
        <v>0.30209165285881107</v>
      </c>
      <c r="O28" s="267">
        <f t="shared" si="2"/>
        <v>0.32629627822189944</v>
      </c>
    </row>
    <row r="29" spans="2:21" s="261" customFormat="1" ht="54" customHeight="1" thickBot="1">
      <c r="B29" s="268" t="s">
        <v>124</v>
      </c>
      <c r="C29" s="264" t="s">
        <v>125</v>
      </c>
      <c r="D29" s="216">
        <f aca="true" t="shared" si="3" ref="D29:O29">($D$15/$D$14)*SQRT(D24/100)</f>
        <v>0.569909430882682</v>
      </c>
      <c r="E29" s="214">
        <f t="shared" si="3"/>
        <v>0.8059736464786209</v>
      </c>
      <c r="F29" s="214">
        <f t="shared" si="3"/>
        <v>1.139818861765364</v>
      </c>
      <c r="G29" s="214">
        <f t="shared" si="3"/>
        <v>1.395987305262528</v>
      </c>
      <c r="H29" s="214">
        <f t="shared" si="3"/>
        <v>1.6119472929572418</v>
      </c>
      <c r="I29" s="214">
        <f t="shared" si="3"/>
        <v>1.8022118615995804</v>
      </c>
      <c r="J29" s="214">
        <f t="shared" si="3"/>
        <v>1.9742241800029372</v>
      </c>
      <c r="K29" s="214">
        <f t="shared" si="3"/>
        <v>2.13240583185432</v>
      </c>
      <c r="L29" s="214">
        <f t="shared" si="3"/>
        <v>2.279637723530728</v>
      </c>
      <c r="M29" s="214">
        <f t="shared" si="3"/>
        <v>2.5487124569437896</v>
      </c>
      <c r="N29" s="214">
        <f t="shared" si="3"/>
        <v>2.791974610525056</v>
      </c>
      <c r="O29" s="212">
        <f t="shared" si="3"/>
        <v>3.0156772478918614</v>
      </c>
      <c r="Q29" s="256"/>
      <c r="R29" s="269"/>
      <c r="S29" s="269"/>
      <c r="T29" s="269"/>
      <c r="U29" s="269"/>
    </row>
    <row r="30" spans="2:22" s="261" customFormat="1" ht="12.75" customHeight="1">
      <c r="B30" s="270"/>
      <c r="C30" s="271"/>
      <c r="O30" s="272"/>
      <c r="Q30" s="39"/>
      <c r="R30" s="40"/>
      <c r="S30" s="40"/>
      <c r="T30" s="41"/>
      <c r="U30" s="42"/>
      <c r="V30" s="43"/>
    </row>
    <row r="31" spans="2:22" s="261" customFormat="1" ht="18" customHeight="1">
      <c r="B31" s="270"/>
      <c r="C31" s="271"/>
      <c r="D31" s="220" t="s">
        <v>31</v>
      </c>
      <c r="E31" s="1005" t="s">
        <v>134</v>
      </c>
      <c r="F31" s="1005"/>
      <c r="G31" s="241"/>
      <c r="H31" s="273"/>
      <c r="I31" s="273"/>
      <c r="J31" s="273"/>
      <c r="K31" s="273"/>
      <c r="L31" s="273"/>
      <c r="O31" s="272"/>
      <c r="Q31" s="44"/>
      <c r="R31" s="36"/>
      <c r="S31" s="36"/>
      <c r="T31" s="32"/>
      <c r="U31" s="4"/>
      <c r="V31" s="50"/>
    </row>
    <row r="32" spans="2:22" s="261" customFormat="1" ht="14.25" customHeight="1">
      <c r="B32" s="270"/>
      <c r="C32" s="271"/>
      <c r="D32" s="273"/>
      <c r="E32" s="273"/>
      <c r="F32" s="273"/>
      <c r="G32" s="273"/>
      <c r="H32" s="273"/>
      <c r="I32" s="273"/>
      <c r="J32" s="273"/>
      <c r="K32" s="273"/>
      <c r="L32" s="273"/>
      <c r="O32" s="272"/>
      <c r="Q32" s="274" t="s">
        <v>126</v>
      </c>
      <c r="R32" s="275">
        <v>0.9</v>
      </c>
      <c r="S32" s="276"/>
      <c r="T32" s="277" t="s">
        <v>127</v>
      </c>
      <c r="U32" s="278">
        <f>U33</f>
        <v>12.5</v>
      </c>
      <c r="V32" s="45"/>
    </row>
    <row r="33" spans="2:22" ht="18" customHeight="1">
      <c r="B33" s="198"/>
      <c r="C33" s="194"/>
      <c r="D33" s="220" t="s">
        <v>31</v>
      </c>
      <c r="E33" s="229" t="s">
        <v>25</v>
      </c>
      <c r="F33" s="229"/>
      <c r="G33" s="229"/>
      <c r="H33" s="229"/>
      <c r="I33" s="229"/>
      <c r="J33" s="229"/>
      <c r="K33" s="229"/>
      <c r="L33" s="229"/>
      <c r="M33" s="194"/>
      <c r="N33" s="194"/>
      <c r="O33" s="222"/>
      <c r="Q33" s="274" t="s">
        <v>126</v>
      </c>
      <c r="R33" s="275">
        <v>0.9</v>
      </c>
      <c r="S33" s="276"/>
      <c r="T33" s="277" t="s">
        <v>127</v>
      </c>
      <c r="U33" s="278">
        <v>12.5</v>
      </c>
      <c r="V33" s="45"/>
    </row>
    <row r="34" spans="2:22" ht="15" customHeight="1">
      <c r="B34" s="198"/>
      <c r="C34" s="194"/>
      <c r="D34" s="220" t="s">
        <v>32</v>
      </c>
      <c r="E34" s="229" t="s">
        <v>26</v>
      </c>
      <c r="F34" s="229"/>
      <c r="G34" s="229"/>
      <c r="H34" s="229"/>
      <c r="I34" s="229"/>
      <c r="J34" s="229"/>
      <c r="K34" s="229"/>
      <c r="L34" s="229"/>
      <c r="M34" s="194"/>
      <c r="N34" s="194"/>
      <c r="O34" s="222"/>
      <c r="Q34" s="47" t="s">
        <v>22</v>
      </c>
      <c r="R34" s="28" t="s">
        <v>21</v>
      </c>
      <c r="S34" s="28" t="s">
        <v>23</v>
      </c>
      <c r="T34" s="37"/>
      <c r="U34" s="18"/>
      <c r="V34" s="48"/>
    </row>
    <row r="35" spans="2:22" ht="15" customHeight="1" thickBot="1">
      <c r="B35" s="198"/>
      <c r="C35" s="194"/>
      <c r="D35" s="220" t="s">
        <v>135</v>
      </c>
      <c r="E35" s="229" t="s">
        <v>27</v>
      </c>
      <c r="F35" s="229"/>
      <c r="G35" s="229"/>
      <c r="H35" s="229"/>
      <c r="I35" s="229"/>
      <c r="J35" s="991" t="s">
        <v>128</v>
      </c>
      <c r="K35" s="991"/>
      <c r="L35" s="279">
        <f>U32</f>
        <v>12.5</v>
      </c>
      <c r="M35" s="194"/>
      <c r="N35" s="194"/>
      <c r="O35" s="222"/>
      <c r="Q35" s="113">
        <f>R23</f>
        <v>1.2332840084301238</v>
      </c>
      <c r="R35" s="30"/>
      <c r="S35" s="26"/>
      <c r="T35" s="114"/>
      <c r="U35" s="3"/>
      <c r="V35" s="115"/>
    </row>
    <row r="36" spans="2:22" ht="15" customHeight="1">
      <c r="B36" s="198"/>
      <c r="C36" s="194"/>
      <c r="D36" s="220" t="s">
        <v>136</v>
      </c>
      <c r="E36" s="229" t="s">
        <v>27</v>
      </c>
      <c r="F36" s="229"/>
      <c r="G36" s="229"/>
      <c r="H36" s="229"/>
      <c r="I36" s="229"/>
      <c r="J36" s="991" t="s">
        <v>129</v>
      </c>
      <c r="K36" s="991"/>
      <c r="L36" s="279">
        <f>U33</f>
        <v>12.5</v>
      </c>
      <c r="M36" s="194"/>
      <c r="N36" s="194"/>
      <c r="O36" s="222"/>
      <c r="Q36" s="280" t="s">
        <v>40</v>
      </c>
      <c r="R36" s="108">
        <f>((0.278*$K$17*POWER(10,-6)*(($R$32*$U$32))))</f>
        <v>0.00039406500000000003</v>
      </c>
      <c r="S36" s="109"/>
      <c r="T36" s="107"/>
      <c r="U36" s="110"/>
      <c r="V36" s="281"/>
    </row>
    <row r="37" spans="2:22" ht="15" customHeight="1" thickBot="1">
      <c r="B37" s="198"/>
      <c r="C37" s="194"/>
      <c r="D37" s="282" t="s">
        <v>137</v>
      </c>
      <c r="E37" s="283" t="s">
        <v>130</v>
      </c>
      <c r="F37" s="284"/>
      <c r="G37" s="284"/>
      <c r="H37" s="284"/>
      <c r="I37" s="284"/>
      <c r="J37" s="284"/>
      <c r="K37" s="284"/>
      <c r="L37" s="285"/>
      <c r="M37" s="194"/>
      <c r="N37" s="194"/>
      <c r="O37" s="222"/>
      <c r="Q37" s="53" t="s">
        <v>41</v>
      </c>
      <c r="R37" s="54">
        <f>((0.278*$K$17*POWER(10,-6)*(($R$33*$U$33))))</f>
        <v>0.00039406500000000003</v>
      </c>
      <c r="S37" s="55"/>
      <c r="T37" s="56"/>
      <c r="U37" s="57"/>
      <c r="V37" s="59"/>
    </row>
    <row r="38" spans="2:15" ht="15" customHeight="1">
      <c r="B38" s="198"/>
      <c r="C38" s="194"/>
      <c r="M38" s="194"/>
      <c r="N38" s="194"/>
      <c r="O38" s="222"/>
    </row>
    <row r="39" spans="2:20" ht="12" customHeight="1">
      <c r="B39" s="286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87"/>
      <c r="R39" s="163"/>
      <c r="S39" s="163"/>
      <c r="T39" s="288"/>
    </row>
    <row r="40" spans="8:22" s="194" customFormat="1" ht="15.75" customHeight="1">
      <c r="H40" s="229"/>
      <c r="Q40" s="100"/>
      <c r="R40" s="163"/>
      <c r="S40" s="163"/>
      <c r="T40" s="288"/>
      <c r="U40" s="100"/>
      <c r="V40" s="100"/>
    </row>
    <row r="41" ht="12">
      <c r="H41" s="194"/>
    </row>
  </sheetData>
  <sheetProtection/>
  <mergeCells count="46">
    <mergeCell ref="AG5:AI5"/>
    <mergeCell ref="AA9:AG9"/>
    <mergeCell ref="AB10:AG10"/>
    <mergeCell ref="AM11:AN11"/>
    <mergeCell ref="AC12:AD12"/>
    <mergeCell ref="AA13:AA14"/>
    <mergeCell ref="AD13:AE13"/>
    <mergeCell ref="AG13:AI13"/>
    <mergeCell ref="AB14:AD14"/>
    <mergeCell ref="AG14:AI14"/>
    <mergeCell ref="D7:M7"/>
    <mergeCell ref="D8:M8"/>
    <mergeCell ref="K24:K25"/>
    <mergeCell ref="L24:L25"/>
    <mergeCell ref="M24:M25"/>
    <mergeCell ref="D24:D25"/>
    <mergeCell ref="D12:M12"/>
    <mergeCell ref="D10:M10"/>
    <mergeCell ref="F5:O5"/>
    <mergeCell ref="J35:K35"/>
    <mergeCell ref="J36:K36"/>
    <mergeCell ref="L14:N14"/>
    <mergeCell ref="N24:N25"/>
    <mergeCell ref="J24:J25"/>
    <mergeCell ref="D22:O23"/>
    <mergeCell ref="H24:H25"/>
    <mergeCell ref="O24:O25"/>
    <mergeCell ref="J14:K14"/>
    <mergeCell ref="B2:E5"/>
    <mergeCell ref="B17:C17"/>
    <mergeCell ref="B26:B27"/>
    <mergeCell ref="R8:S8"/>
    <mergeCell ref="Q22:Q23"/>
    <mergeCell ref="I24:I25"/>
    <mergeCell ref="G24:G25"/>
    <mergeCell ref="F2:O2"/>
    <mergeCell ref="F3:O3"/>
    <mergeCell ref="F4:O4"/>
    <mergeCell ref="E31:F31"/>
    <mergeCell ref="B14:C14"/>
    <mergeCell ref="B15:C15"/>
    <mergeCell ref="B16:C16"/>
    <mergeCell ref="B18:C18"/>
    <mergeCell ref="F24:F25"/>
    <mergeCell ref="B23:C24"/>
    <mergeCell ref="E24:E25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3"/>
  <legacyDrawing r:id="rId2"/>
  <oleObjects>
    <oleObject progId="Equation.3" shapeId="2391529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B1:AN41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100" customWidth="1"/>
    <col min="2" max="2" width="5.28125" style="100" customWidth="1"/>
    <col min="3" max="3" width="5.421875" style="100" customWidth="1"/>
    <col min="4" max="5" width="8.28125" style="100" customWidth="1"/>
    <col min="6" max="6" width="6.00390625" style="100" customWidth="1"/>
    <col min="7" max="10" width="5.7109375" style="100" customWidth="1"/>
    <col min="11" max="11" width="6.421875" style="100" customWidth="1"/>
    <col min="12" max="15" width="6.00390625" style="100" customWidth="1"/>
    <col min="16" max="16" width="3.140625" style="100" customWidth="1"/>
    <col min="17" max="17" width="10.28125" style="100" customWidth="1"/>
    <col min="18" max="18" width="9.421875" style="100" bestFit="1" customWidth="1"/>
    <col min="19" max="19" width="7.140625" style="100" customWidth="1"/>
    <col min="20" max="20" width="7.421875" style="100" customWidth="1"/>
    <col min="21" max="21" width="5.8515625" style="100" customWidth="1"/>
    <col min="22" max="22" width="1.421875" style="100" customWidth="1"/>
    <col min="23" max="25" width="9.140625" style="100" customWidth="1"/>
    <col min="26" max="26" width="2.421875" style="100" customWidth="1"/>
    <col min="27" max="30" width="9.140625" style="100" customWidth="1"/>
    <col min="31" max="31" width="8.140625" style="100" customWidth="1"/>
    <col min="32" max="32" width="2.00390625" style="100" customWidth="1"/>
    <col min="33" max="33" width="5.7109375" style="100" customWidth="1"/>
    <col min="34" max="34" width="3.28125" style="100" customWidth="1"/>
    <col min="35" max="35" width="4.8515625" style="100" customWidth="1"/>
    <col min="36" max="36" width="6.421875" style="100" customWidth="1"/>
    <col min="37" max="38" width="3.7109375" style="100" customWidth="1"/>
    <col min="39" max="16384" width="9.140625" style="100" customWidth="1"/>
  </cols>
  <sheetData>
    <row r="1" ht="4.5" customHeight="1">
      <c r="H1" s="221"/>
    </row>
    <row r="2" spans="2:15" ht="19.5" customHeight="1">
      <c r="B2" s="982"/>
      <c r="C2" s="983"/>
      <c r="D2" s="983"/>
      <c r="E2" s="984"/>
      <c r="F2" s="861" t="str">
        <f>'BASE '!G2</f>
        <v>PROJETO  DE  DRENAGEM</v>
      </c>
      <c r="G2" s="862"/>
      <c r="H2" s="862"/>
      <c r="I2" s="862"/>
      <c r="J2" s="862"/>
      <c r="K2" s="862"/>
      <c r="L2" s="862"/>
      <c r="M2" s="862"/>
      <c r="N2" s="862"/>
      <c r="O2" s="863"/>
    </row>
    <row r="3" spans="2:40" ht="19.5" customHeight="1">
      <c r="B3" s="985"/>
      <c r="C3" s="986"/>
      <c r="D3" s="986"/>
      <c r="E3" s="987"/>
      <c r="F3" s="864" t="str">
        <f>'BASE '!G3</f>
        <v>Aeroporto de Diamantina</v>
      </c>
      <c r="G3" s="865"/>
      <c r="H3" s="865"/>
      <c r="I3" s="865"/>
      <c r="J3" s="865"/>
      <c r="K3" s="865"/>
      <c r="L3" s="865"/>
      <c r="M3" s="865"/>
      <c r="N3" s="865"/>
      <c r="O3" s="866"/>
      <c r="W3" s="2"/>
      <c r="X3" s="2"/>
      <c r="Y3" s="129"/>
      <c r="Z3" s="12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0" ht="19.5" customHeight="1" thickBot="1">
      <c r="B4" s="985"/>
      <c r="C4" s="986"/>
      <c r="D4" s="986"/>
      <c r="E4" s="987"/>
      <c r="F4" s="864" t="str">
        <f>'BASE '!G4</f>
        <v>A</v>
      </c>
      <c r="G4" s="865"/>
      <c r="H4" s="865"/>
      <c r="I4" s="865"/>
      <c r="J4" s="865"/>
      <c r="K4" s="865"/>
      <c r="L4" s="865"/>
      <c r="M4" s="865"/>
      <c r="N4" s="865"/>
      <c r="O4" s="866"/>
      <c r="W4" s="14" t="s">
        <v>60</v>
      </c>
      <c r="X4" s="2" t="s">
        <v>61</v>
      </c>
      <c r="Y4" s="2"/>
      <c r="Z4" s="2"/>
      <c r="AA4" s="2"/>
      <c r="AB4" s="2"/>
      <c r="AC4" s="133" t="s">
        <v>62</v>
      </c>
      <c r="AD4" s="134" t="s">
        <v>63</v>
      </c>
      <c r="AE4" s="135" t="s">
        <v>64</v>
      </c>
      <c r="AF4" s="37" t="s">
        <v>33</v>
      </c>
      <c r="AG4" s="136" t="s">
        <v>65</v>
      </c>
      <c r="AH4" s="137" t="s">
        <v>33</v>
      </c>
      <c r="AI4" s="138" t="s">
        <v>66</v>
      </c>
      <c r="AJ4" s="139" t="s">
        <v>67</v>
      </c>
      <c r="AK4" s="140" t="s">
        <v>33</v>
      </c>
      <c r="AL4" s="141" t="s">
        <v>66</v>
      </c>
      <c r="AM4" s="2"/>
      <c r="AN4" s="2"/>
    </row>
    <row r="5" spans="2:40" ht="19.5" customHeight="1">
      <c r="B5" s="988"/>
      <c r="C5" s="989"/>
      <c r="D5" s="989"/>
      <c r="E5" s="990"/>
      <c r="F5" s="908" t="str">
        <f>'BASE '!G5</f>
        <v>B</v>
      </c>
      <c r="G5" s="909"/>
      <c r="H5" s="909"/>
      <c r="I5" s="909"/>
      <c r="J5" s="909"/>
      <c r="K5" s="909"/>
      <c r="L5" s="909"/>
      <c r="M5" s="909"/>
      <c r="N5" s="909"/>
      <c r="O5" s="910"/>
      <c r="W5" s="2"/>
      <c r="X5" s="14"/>
      <c r="Y5" s="2"/>
      <c r="Z5" s="2"/>
      <c r="AA5" s="2"/>
      <c r="AB5" s="2"/>
      <c r="AC5" s="2"/>
      <c r="AD5" s="142"/>
      <c r="AE5" s="143"/>
      <c r="AF5" s="144"/>
      <c r="AG5" s="838" t="s">
        <v>68</v>
      </c>
      <c r="AH5" s="838"/>
      <c r="AI5" s="839"/>
      <c r="AJ5" s="2"/>
      <c r="AK5" s="2"/>
      <c r="AL5" s="2"/>
      <c r="AM5" s="2"/>
      <c r="AN5" s="2"/>
    </row>
    <row r="6" spans="2:40" ht="12.75">
      <c r="B6" s="198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222"/>
      <c r="Q6" s="223" t="s">
        <v>115</v>
      </c>
      <c r="R6" s="193">
        <v>0.0659</v>
      </c>
      <c r="S6" s="193" t="s">
        <v>8</v>
      </c>
      <c r="T6" s="192"/>
      <c r="U6" s="19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2:40" ht="21" customHeight="1">
      <c r="B7" s="198"/>
      <c r="C7" s="194"/>
      <c r="D7" s="811" t="s">
        <v>49</v>
      </c>
      <c r="E7" s="811"/>
      <c r="F7" s="811"/>
      <c r="G7" s="811"/>
      <c r="H7" s="811"/>
      <c r="I7" s="811"/>
      <c r="J7" s="811"/>
      <c r="K7" s="811"/>
      <c r="L7" s="811"/>
      <c r="M7" s="811"/>
      <c r="N7" s="215"/>
      <c r="O7" s="222"/>
      <c r="P7" s="194"/>
      <c r="Q7" s="223" t="s">
        <v>131</v>
      </c>
      <c r="R7" s="224">
        <f>(R23/R6)</f>
        <v>10.855261499946872</v>
      </c>
      <c r="S7" s="225" t="s">
        <v>113</v>
      </c>
      <c r="T7" s="192"/>
      <c r="U7" s="192"/>
      <c r="W7" s="14" t="s">
        <v>69</v>
      </c>
      <c r="X7" s="2" t="s">
        <v>70</v>
      </c>
      <c r="Y7" s="2"/>
      <c r="Z7" s="75"/>
      <c r="AA7" s="145" t="s">
        <v>71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2:40" ht="12.75" customHeight="1">
      <c r="B8" s="191"/>
      <c r="C8" s="190"/>
      <c r="D8" s="811" t="s">
        <v>209</v>
      </c>
      <c r="E8" s="811"/>
      <c r="F8" s="811"/>
      <c r="G8" s="811"/>
      <c r="H8" s="811"/>
      <c r="I8" s="811"/>
      <c r="J8" s="811"/>
      <c r="K8" s="811"/>
      <c r="L8" s="811"/>
      <c r="M8" s="811"/>
      <c r="N8" s="215"/>
      <c r="O8" s="222"/>
      <c r="P8" s="194"/>
      <c r="Q8" s="195"/>
      <c r="R8" s="1000" t="s">
        <v>64</v>
      </c>
      <c r="S8" s="1000"/>
      <c r="T8" s="196"/>
      <c r="U8" s="197"/>
      <c r="W8" s="14" t="s">
        <v>69</v>
      </c>
      <c r="X8" s="2" t="s">
        <v>70</v>
      </c>
      <c r="Y8" s="2"/>
      <c r="Z8" s="75"/>
      <c r="AA8" s="145" t="s">
        <v>72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</row>
    <row r="9" spans="2:40" ht="12.75" customHeight="1">
      <c r="B9" s="198"/>
      <c r="C9" s="194"/>
      <c r="D9" s="194"/>
      <c r="E9" s="226"/>
      <c r="F9" s="194"/>
      <c r="G9" s="194"/>
      <c r="H9" s="194"/>
      <c r="I9" s="194"/>
      <c r="J9" s="194"/>
      <c r="K9" s="194"/>
      <c r="L9" s="194"/>
      <c r="M9" s="194"/>
      <c r="N9" s="194"/>
      <c r="O9" s="222"/>
      <c r="Q9" s="198"/>
      <c r="R9" s="194"/>
      <c r="S9" s="194"/>
      <c r="T9" s="194"/>
      <c r="U9" s="199"/>
      <c r="W9" s="14" t="s">
        <v>69</v>
      </c>
      <c r="X9" s="2" t="s">
        <v>70</v>
      </c>
      <c r="Y9" s="2"/>
      <c r="Z9" s="146" t="s">
        <v>73</v>
      </c>
      <c r="AA9" s="840" t="s">
        <v>74</v>
      </c>
      <c r="AB9" s="840"/>
      <c r="AC9" s="840"/>
      <c r="AD9" s="840"/>
      <c r="AE9" s="840"/>
      <c r="AF9" s="840"/>
      <c r="AG9" s="840"/>
      <c r="AH9" s="148" t="s">
        <v>75</v>
      </c>
      <c r="AI9" s="2" t="s">
        <v>33</v>
      </c>
      <c r="AJ9" s="290" t="s">
        <v>138</v>
      </c>
      <c r="AK9" s="192"/>
      <c r="AL9" s="2"/>
      <c r="AM9" s="149"/>
      <c r="AN9" s="150"/>
    </row>
    <row r="10" spans="2:40" ht="18" customHeight="1">
      <c r="B10" s="198"/>
      <c r="C10" s="194"/>
      <c r="D10" s="1004" t="s">
        <v>208</v>
      </c>
      <c r="E10" s="1004"/>
      <c r="F10" s="1004"/>
      <c r="G10" s="1004"/>
      <c r="H10" s="1004"/>
      <c r="I10" s="1004"/>
      <c r="J10" s="1004"/>
      <c r="K10" s="1004"/>
      <c r="L10" s="1004"/>
      <c r="M10" s="1004"/>
      <c r="N10" s="194"/>
      <c r="O10" s="222"/>
      <c r="Q10" s="200" t="s">
        <v>103</v>
      </c>
      <c r="R10" s="7" t="s">
        <v>104</v>
      </c>
      <c r="S10" s="7" t="s">
        <v>68</v>
      </c>
      <c r="T10" s="7" t="s">
        <v>105</v>
      </c>
      <c r="U10" s="201" t="s">
        <v>106</v>
      </c>
      <c r="W10" s="14" t="s">
        <v>69</v>
      </c>
      <c r="X10" s="2" t="s">
        <v>70</v>
      </c>
      <c r="Y10" s="2"/>
      <c r="Z10" s="146" t="s">
        <v>73</v>
      </c>
      <c r="AA10" s="151" t="s">
        <v>76</v>
      </c>
      <c r="AB10" s="840" t="s">
        <v>77</v>
      </c>
      <c r="AC10" s="840"/>
      <c r="AD10" s="840"/>
      <c r="AE10" s="840"/>
      <c r="AF10" s="840"/>
      <c r="AG10" s="840"/>
      <c r="AH10" s="148" t="s">
        <v>75</v>
      </c>
      <c r="AI10" s="2" t="s">
        <v>33</v>
      </c>
      <c r="AJ10" s="290" t="s">
        <v>138</v>
      </c>
      <c r="AK10" s="192"/>
      <c r="AL10" s="2"/>
      <c r="AM10" s="5"/>
      <c r="AN10" s="152"/>
    </row>
    <row r="11" spans="2:40" ht="12.75" customHeight="1">
      <c r="B11" s="198"/>
      <c r="C11" s="194"/>
      <c r="M11" s="194"/>
      <c r="N11" s="194"/>
      <c r="O11" s="222"/>
      <c r="Q11" s="200">
        <v>0.00175</v>
      </c>
      <c r="R11" s="16">
        <v>0.2</v>
      </c>
      <c r="S11" s="227">
        <f>D18</f>
        <v>0.015</v>
      </c>
      <c r="T11" s="295">
        <v>13.6</v>
      </c>
      <c r="U11" s="202"/>
      <c r="W11" s="2"/>
      <c r="X11" s="153" t="s">
        <v>60</v>
      </c>
      <c r="Y11" s="154" t="s">
        <v>78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89" t="s">
        <v>138</v>
      </c>
      <c r="AK11" s="155"/>
      <c r="AL11" s="155"/>
      <c r="AM11" s="980" t="s">
        <v>79</v>
      </c>
      <c r="AN11" s="981"/>
    </row>
    <row r="12" spans="2:40" ht="12.75" customHeight="1">
      <c r="B12" s="228"/>
      <c r="C12" s="229"/>
      <c r="D12" s="1008" t="s">
        <v>116</v>
      </c>
      <c r="E12" s="1008"/>
      <c r="F12" s="1008"/>
      <c r="G12" s="1008"/>
      <c r="H12" s="1008"/>
      <c r="I12" s="1008"/>
      <c r="J12" s="1008"/>
      <c r="K12" s="1008"/>
      <c r="L12" s="1008"/>
      <c r="M12" s="1008"/>
      <c r="N12" s="229"/>
      <c r="O12" s="222"/>
      <c r="Q12" s="200">
        <v>0.00175</v>
      </c>
      <c r="R12" s="16">
        <f>R11</f>
        <v>0.2</v>
      </c>
      <c r="S12" s="7">
        <f>S11</f>
        <v>0.015</v>
      </c>
      <c r="T12" s="177">
        <v>3.6</v>
      </c>
      <c r="U12" s="201"/>
      <c r="W12" s="2"/>
      <c r="X12" s="2"/>
      <c r="Y12" s="2"/>
      <c r="Z12" s="2"/>
      <c r="AA12" s="2"/>
      <c r="AB12" s="156" t="s">
        <v>80</v>
      </c>
      <c r="AC12" s="978" t="s">
        <v>81</v>
      </c>
      <c r="AD12" s="979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2:40" ht="12.75" customHeight="1">
      <c r="B13" s="230"/>
      <c r="C13" s="220"/>
      <c r="D13" s="231"/>
      <c r="E13" s="231"/>
      <c r="F13" s="231"/>
      <c r="G13" s="231"/>
      <c r="H13" s="231"/>
      <c r="I13" s="231"/>
      <c r="J13" s="232"/>
      <c r="K13" s="232"/>
      <c r="L13" s="232"/>
      <c r="M13" s="232"/>
      <c r="N13" s="232"/>
      <c r="O13" s="222"/>
      <c r="Q13" s="200">
        <v>0.00175</v>
      </c>
      <c r="R13" s="16">
        <v>0.03</v>
      </c>
      <c r="S13" s="7">
        <f>S11</f>
        <v>0.015</v>
      </c>
      <c r="T13" s="177">
        <f>T12</f>
        <v>3.6</v>
      </c>
      <c r="U13" s="201"/>
      <c r="W13" s="2"/>
      <c r="X13" s="2"/>
      <c r="Y13" s="2"/>
      <c r="Z13" s="2"/>
      <c r="AA13" s="841" t="s">
        <v>31</v>
      </c>
      <c r="AB13" s="164" t="s">
        <v>82</v>
      </c>
      <c r="AC13" s="157" t="s">
        <v>33</v>
      </c>
      <c r="AD13" s="843" t="s">
        <v>83</v>
      </c>
      <c r="AE13" s="844"/>
      <c r="AF13" s="147"/>
      <c r="AG13" s="845" t="s">
        <v>84</v>
      </c>
      <c r="AH13" s="845"/>
      <c r="AI13" s="845"/>
      <c r="AJ13" s="162">
        <v>0.7562</v>
      </c>
      <c r="AK13" s="2"/>
      <c r="AL13" s="2"/>
      <c r="AM13" s="158"/>
      <c r="AN13" s="159"/>
    </row>
    <row r="14" spans="2:40" ht="12.75" customHeight="1">
      <c r="B14" s="960" t="s">
        <v>4</v>
      </c>
      <c r="C14" s="961"/>
      <c r="D14" s="233">
        <f>R6</f>
        <v>0.0659</v>
      </c>
      <c r="E14" s="229" t="s">
        <v>8</v>
      </c>
      <c r="F14" s="231"/>
      <c r="G14" s="231"/>
      <c r="H14" s="231"/>
      <c r="I14" s="231"/>
      <c r="J14" s="963" t="s">
        <v>51</v>
      </c>
      <c r="K14" s="963"/>
      <c r="L14" s="1008" t="str">
        <f>'[1]BASE'!L14</f>
        <v>Ouro Preto - MG</v>
      </c>
      <c r="M14" s="1008"/>
      <c r="N14" s="1008"/>
      <c r="O14" s="222"/>
      <c r="Q14" s="200"/>
      <c r="R14" s="7"/>
      <c r="S14" s="7"/>
      <c r="T14" s="7"/>
      <c r="U14" s="201"/>
      <c r="W14" s="2"/>
      <c r="X14" s="2"/>
      <c r="Y14" s="2"/>
      <c r="Z14" s="2"/>
      <c r="AA14" s="842"/>
      <c r="AB14" s="846" t="s">
        <v>85</v>
      </c>
      <c r="AC14" s="846"/>
      <c r="AD14" s="846"/>
      <c r="AE14" s="160"/>
      <c r="AF14" s="147"/>
      <c r="AG14" s="847" t="s">
        <v>86</v>
      </c>
      <c r="AH14" s="847"/>
      <c r="AI14" s="847"/>
      <c r="AJ14" s="161">
        <v>39.401</v>
      </c>
      <c r="AK14" s="2"/>
      <c r="AL14" s="2"/>
      <c r="AM14" s="166"/>
      <c r="AN14" s="2"/>
    </row>
    <row r="15" spans="2:40" ht="12.75" customHeight="1">
      <c r="B15" s="960" t="s">
        <v>117</v>
      </c>
      <c r="C15" s="961"/>
      <c r="D15" s="233">
        <f>R23</f>
        <v>0.7153617328464988</v>
      </c>
      <c r="E15" s="234" t="s">
        <v>132</v>
      </c>
      <c r="F15" s="229" t="s">
        <v>111</v>
      </c>
      <c r="G15" s="229"/>
      <c r="H15" s="229"/>
      <c r="I15" s="229"/>
      <c r="J15" s="220" t="s">
        <v>18</v>
      </c>
      <c r="K15" s="3">
        <f>'[1]BASE'!$K$15</f>
        <v>10</v>
      </c>
      <c r="L15" s="229" t="s">
        <v>12</v>
      </c>
      <c r="M15" s="229"/>
      <c r="N15" s="229"/>
      <c r="O15" s="222"/>
      <c r="Q15" s="200"/>
      <c r="R15" s="7"/>
      <c r="S15" s="7"/>
      <c r="T15" s="7"/>
      <c r="U15" s="20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63"/>
      <c r="AN15" s="2"/>
    </row>
    <row r="16" spans="2:21" ht="12.75" customHeight="1">
      <c r="B16" s="960" t="s">
        <v>118</v>
      </c>
      <c r="C16" s="961"/>
      <c r="D16" s="427">
        <f>(0.278*$K$17*((L35*0.9))*POWER(10,-5))</f>
        <v>0.0032988494700000003</v>
      </c>
      <c r="E16" s="234" t="s">
        <v>132</v>
      </c>
      <c r="F16" s="229" t="s">
        <v>111</v>
      </c>
      <c r="H16" s="229"/>
      <c r="I16" s="229"/>
      <c r="J16" s="220" t="s">
        <v>17</v>
      </c>
      <c r="K16" s="3">
        <f>'[1]BASE'!$K$16</f>
        <v>5</v>
      </c>
      <c r="L16" s="229" t="s">
        <v>13</v>
      </c>
      <c r="M16" s="229"/>
      <c r="N16" s="229"/>
      <c r="O16" s="222"/>
      <c r="Q16" s="200" t="s">
        <v>107</v>
      </c>
      <c r="R16" s="203">
        <f>Q11*((1/R11)/S11)*POWER(T11,8/3)</f>
        <v>614.7339749978944</v>
      </c>
      <c r="S16" s="7"/>
      <c r="T16" s="7"/>
      <c r="U16" s="201"/>
    </row>
    <row r="17" spans="2:21" ht="12.75" customHeight="1">
      <c r="B17" s="960" t="s">
        <v>119</v>
      </c>
      <c r="C17" s="961"/>
      <c r="D17" s="427">
        <f>(0.278*$K$17*((L36*0.9))*POWER(10,-5))</f>
        <v>0.00591517836</v>
      </c>
      <c r="E17" s="234" t="s">
        <v>132</v>
      </c>
      <c r="F17" s="229" t="s">
        <v>111</v>
      </c>
      <c r="G17" s="229"/>
      <c r="H17" s="229"/>
      <c r="I17" s="229"/>
      <c r="J17" s="220" t="s">
        <v>19</v>
      </c>
      <c r="K17" s="236">
        <f>'[1]BASE'!$K$17</f>
        <v>151.55</v>
      </c>
      <c r="L17" s="229" t="s">
        <v>14</v>
      </c>
      <c r="M17" s="229"/>
      <c r="N17" s="229"/>
      <c r="O17" s="222"/>
      <c r="Q17" s="200" t="s">
        <v>108</v>
      </c>
      <c r="R17" s="203">
        <f>Q12*((1/R12)/S12)*POWER(T12,8/3)</f>
        <v>17.757839620341958</v>
      </c>
      <c r="S17" s="7"/>
      <c r="T17" s="7"/>
      <c r="U17" s="201"/>
    </row>
    <row r="18" spans="2:22" ht="12.75" customHeight="1">
      <c r="B18" s="960" t="s">
        <v>9</v>
      </c>
      <c r="C18" s="961"/>
      <c r="D18" s="233">
        <f>'[2]BASE'!D17</f>
        <v>0.015</v>
      </c>
      <c r="E18" s="229"/>
      <c r="F18" s="229"/>
      <c r="G18" s="229"/>
      <c r="H18" s="229"/>
      <c r="I18" s="229"/>
      <c r="J18" s="231"/>
      <c r="K18" s="231"/>
      <c r="L18" s="231"/>
      <c r="M18" s="231"/>
      <c r="N18" s="231"/>
      <c r="O18" s="237"/>
      <c r="P18" s="238"/>
      <c r="Q18" s="200" t="s">
        <v>109</v>
      </c>
      <c r="R18" s="203">
        <f>Q13*((1/R13)/S13)*POWER(T13,8/3)</f>
        <v>118.3855974689464</v>
      </c>
      <c r="S18" s="7"/>
      <c r="T18" s="7"/>
      <c r="U18" s="201"/>
      <c r="V18" s="194"/>
    </row>
    <row r="19" spans="2:22" ht="12.75" customHeight="1">
      <c r="B19" s="239" t="s">
        <v>120</v>
      </c>
      <c r="C19" s="217"/>
      <c r="D19" s="240">
        <v>1.2</v>
      </c>
      <c r="E19" s="241" t="s">
        <v>7</v>
      </c>
      <c r="F19" s="229"/>
      <c r="G19" s="229"/>
      <c r="H19" s="229"/>
      <c r="I19" s="229"/>
      <c r="J19" s="231"/>
      <c r="K19" s="231"/>
      <c r="L19" s="231"/>
      <c r="M19" s="231"/>
      <c r="N19" s="231"/>
      <c r="O19" s="237"/>
      <c r="P19" s="238"/>
      <c r="Q19" s="200"/>
      <c r="R19" s="203"/>
      <c r="S19" s="7"/>
      <c r="T19" s="7"/>
      <c r="U19" s="201"/>
      <c r="V19" s="194"/>
    </row>
    <row r="20" spans="2:22" ht="12.75" customHeight="1">
      <c r="B20" s="239"/>
      <c r="C20" s="217"/>
      <c r="D20" s="240"/>
      <c r="E20" s="241"/>
      <c r="F20" s="194"/>
      <c r="G20" s="194"/>
      <c r="H20" s="194"/>
      <c r="I20" s="194"/>
      <c r="J20" s="238"/>
      <c r="K20" s="238"/>
      <c r="L20" s="238"/>
      <c r="M20" s="238"/>
      <c r="N20" s="238"/>
      <c r="O20" s="237"/>
      <c r="P20" s="238"/>
      <c r="Q20" s="200"/>
      <c r="R20" s="203"/>
      <c r="S20" s="7"/>
      <c r="T20" s="7"/>
      <c r="U20" s="201"/>
      <c r="V20" s="194"/>
    </row>
    <row r="21" spans="2:22" ht="12.75" customHeight="1">
      <c r="B21" s="242"/>
      <c r="C21" s="243"/>
      <c r="D21" s="244"/>
      <c r="E21" s="245"/>
      <c r="F21" s="194"/>
      <c r="G21" s="194"/>
      <c r="H21" s="194"/>
      <c r="I21" s="246"/>
      <c r="J21" s="247"/>
      <c r="K21" s="246"/>
      <c r="L21" s="247"/>
      <c r="M21" s="246"/>
      <c r="N21" s="240"/>
      <c r="O21" s="213"/>
      <c r="P21" s="248">
        <v>0.4</v>
      </c>
      <c r="Q21" s="200"/>
      <c r="R21" s="204"/>
      <c r="S21" s="7"/>
      <c r="T21" s="7"/>
      <c r="U21" s="201"/>
      <c r="V21" s="194"/>
    </row>
    <row r="22" spans="2:22" ht="15">
      <c r="B22" s="218"/>
      <c r="C22" s="219"/>
      <c r="D22" s="992" t="s">
        <v>20</v>
      </c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994"/>
      <c r="P22" s="194"/>
      <c r="Q22" s="1001" t="s">
        <v>121</v>
      </c>
      <c r="R22" s="205">
        <f>(R16-R17)+R18</f>
        <v>715.3617328464989</v>
      </c>
      <c r="S22" s="206" t="s">
        <v>113</v>
      </c>
      <c r="T22" s="207" t="s">
        <v>110</v>
      </c>
      <c r="U22" s="201"/>
      <c r="V22" s="194"/>
    </row>
    <row r="23" spans="2:22" ht="15">
      <c r="B23" s="1006" t="s">
        <v>39</v>
      </c>
      <c r="C23" s="1007"/>
      <c r="D23" s="995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7"/>
      <c r="Q23" s="1002"/>
      <c r="R23" s="249">
        <f>R22/1000</f>
        <v>0.7153617328464988</v>
      </c>
      <c r="S23" s="208" t="s">
        <v>114</v>
      </c>
      <c r="T23" s="209" t="s">
        <v>111</v>
      </c>
      <c r="U23" s="210"/>
      <c r="V23" s="194"/>
    </row>
    <row r="24" spans="2:22" ht="12">
      <c r="B24" s="1006"/>
      <c r="C24" s="1007"/>
      <c r="D24" s="939">
        <v>0.25</v>
      </c>
      <c r="E24" s="975">
        <v>0.5</v>
      </c>
      <c r="F24" s="975">
        <v>1</v>
      </c>
      <c r="G24" s="975">
        <v>1.5</v>
      </c>
      <c r="H24" s="975">
        <v>2</v>
      </c>
      <c r="I24" s="975">
        <v>2.5</v>
      </c>
      <c r="J24" s="975">
        <v>3</v>
      </c>
      <c r="K24" s="975">
        <v>3.5</v>
      </c>
      <c r="L24" s="975">
        <v>4</v>
      </c>
      <c r="M24" s="975">
        <v>5</v>
      </c>
      <c r="N24" s="975">
        <v>6</v>
      </c>
      <c r="O24" s="973">
        <v>7</v>
      </c>
      <c r="Q24" s="250"/>
      <c r="R24" s="250"/>
      <c r="S24" s="250"/>
      <c r="T24" s="251"/>
      <c r="U24" s="219"/>
      <c r="V24" s="215"/>
    </row>
    <row r="25" spans="2:22" ht="12">
      <c r="B25" s="252"/>
      <c r="C25" s="253"/>
      <c r="D25" s="940"/>
      <c r="E25" s="976"/>
      <c r="F25" s="976"/>
      <c r="G25" s="976"/>
      <c r="H25" s="976"/>
      <c r="I25" s="976"/>
      <c r="J25" s="976"/>
      <c r="K25" s="976"/>
      <c r="L25" s="976"/>
      <c r="M25" s="976"/>
      <c r="N25" s="976"/>
      <c r="O25" s="974"/>
      <c r="Q25" s="254"/>
      <c r="R25" s="98"/>
      <c r="S25" s="255"/>
      <c r="T25" s="256"/>
      <c r="U25" s="215"/>
      <c r="V25" s="215"/>
    </row>
    <row r="26" spans="2:22" ht="49.5" customHeight="1">
      <c r="B26" s="998" t="s">
        <v>133</v>
      </c>
      <c r="C26" s="257" t="s">
        <v>40</v>
      </c>
      <c r="D26" s="258">
        <f aca="true" t="shared" si="0" ref="D26:O26">($D$15/$D$16)*SQRT(D24)</f>
        <v>108.42594355275307</v>
      </c>
      <c r="E26" s="259">
        <f t="shared" si="0"/>
        <v>153.33743988540306</v>
      </c>
      <c r="F26" s="259">
        <f t="shared" si="0"/>
        <v>216.85188710550614</v>
      </c>
      <c r="G26" s="259">
        <f t="shared" si="0"/>
        <v>265.58823658405646</v>
      </c>
      <c r="H26" s="259">
        <f t="shared" si="0"/>
        <v>306.6748797708061</v>
      </c>
      <c r="I26" s="259">
        <f t="shared" si="0"/>
        <v>342.87293907954876</v>
      </c>
      <c r="J26" s="259">
        <f t="shared" si="0"/>
        <v>375.59848618392687</v>
      </c>
      <c r="K26" s="259">
        <f t="shared" si="0"/>
        <v>405.6927326120929</v>
      </c>
      <c r="L26" s="259">
        <f t="shared" si="0"/>
        <v>433.7037742110123</v>
      </c>
      <c r="M26" s="259">
        <f t="shared" si="0"/>
        <v>484.89556061702183</v>
      </c>
      <c r="N26" s="259">
        <f t="shared" si="0"/>
        <v>531.1764731681129</v>
      </c>
      <c r="O26" s="260">
        <f t="shared" si="0"/>
        <v>573.7361646162235</v>
      </c>
      <c r="Q26" s="215"/>
      <c r="R26" s="30"/>
      <c r="S26" s="255"/>
      <c r="T26" s="215"/>
      <c r="U26" s="240"/>
      <c r="V26" s="247"/>
    </row>
    <row r="27" spans="2:15" s="261" customFormat="1" ht="49.5" customHeight="1">
      <c r="B27" s="999"/>
      <c r="C27" s="262" t="s">
        <v>41</v>
      </c>
      <c r="D27" s="258">
        <f aca="true" t="shared" si="1" ref="D27:O27">($D$15/$D$17)*SQRT(D24)</f>
        <v>60.46831467365075</v>
      </c>
      <c r="E27" s="69">
        <f t="shared" si="1"/>
        <v>85.51511070532094</v>
      </c>
      <c r="F27" s="69">
        <f t="shared" si="1"/>
        <v>120.9366293473015</v>
      </c>
      <c r="G27" s="69">
        <f t="shared" si="1"/>
        <v>148.11651655649305</v>
      </c>
      <c r="H27" s="69">
        <f t="shared" si="1"/>
        <v>171.03022141064187</v>
      </c>
      <c r="I27" s="69">
        <f t="shared" si="1"/>
        <v>191.2176006405176</v>
      </c>
      <c r="J27" s="69">
        <f t="shared" si="1"/>
        <v>209.46838652565154</v>
      </c>
      <c r="K27" s="69">
        <f t="shared" si="1"/>
        <v>226.25171626443645</v>
      </c>
      <c r="L27" s="69">
        <f t="shared" si="1"/>
        <v>241.873258694603</v>
      </c>
      <c r="M27" s="69">
        <f t="shared" si="1"/>
        <v>270.4225241902622</v>
      </c>
      <c r="N27" s="69">
        <f t="shared" si="1"/>
        <v>296.2330331129861</v>
      </c>
      <c r="O27" s="70">
        <f t="shared" si="1"/>
        <v>319.9682456513554</v>
      </c>
    </row>
    <row r="28" spans="2:15" s="261" customFormat="1" ht="49.5" customHeight="1">
      <c r="B28" s="263" t="s">
        <v>122</v>
      </c>
      <c r="C28" s="264" t="s">
        <v>123</v>
      </c>
      <c r="D28" s="265">
        <f aca="true" t="shared" si="2" ref="D28:O28">$D$14*D29</f>
        <v>0.03576808664232495</v>
      </c>
      <c r="E28" s="266">
        <f t="shared" si="2"/>
        <v>0.05058371322971187</v>
      </c>
      <c r="F28" s="266">
        <f t="shared" si="2"/>
        <v>0.0715361732846499</v>
      </c>
      <c r="G28" s="266">
        <f t="shared" si="2"/>
        <v>0.08761356134935495</v>
      </c>
      <c r="H28" s="266">
        <f t="shared" si="2"/>
        <v>0.10116742645942374</v>
      </c>
      <c r="I28" s="266">
        <f t="shared" si="2"/>
        <v>0.11310862133599119</v>
      </c>
      <c r="J28" s="266">
        <f t="shared" si="2"/>
        <v>0.12390428670806498</v>
      </c>
      <c r="K28" s="266">
        <f t="shared" si="2"/>
        <v>0.13383192559602547</v>
      </c>
      <c r="L28" s="266">
        <f t="shared" si="2"/>
        <v>0.1430723465692998</v>
      </c>
      <c r="M28" s="266">
        <f t="shared" si="2"/>
        <v>0.15995974631468157</v>
      </c>
      <c r="N28" s="266">
        <f t="shared" si="2"/>
        <v>0.1752271226987099</v>
      </c>
      <c r="O28" s="267">
        <f t="shared" si="2"/>
        <v>0.18926692425640618</v>
      </c>
    </row>
    <row r="29" spans="2:21" s="261" customFormat="1" ht="54" customHeight="1" thickBot="1">
      <c r="B29" s="268" t="s">
        <v>124</v>
      </c>
      <c r="C29" s="264" t="s">
        <v>125</v>
      </c>
      <c r="D29" s="216">
        <f aca="true" t="shared" si="3" ref="D29:O29">($D$15/$D$14)*SQRT(D24/100)</f>
        <v>0.5427630749973437</v>
      </c>
      <c r="E29" s="214">
        <f t="shared" si="3"/>
        <v>0.7675829018165686</v>
      </c>
      <c r="F29" s="214">
        <f t="shared" si="3"/>
        <v>1.0855261499946873</v>
      </c>
      <c r="G29" s="214">
        <f t="shared" si="3"/>
        <v>1.32949258496745</v>
      </c>
      <c r="H29" s="214">
        <f t="shared" si="3"/>
        <v>1.5351658036331373</v>
      </c>
      <c r="I29" s="214">
        <f t="shared" si="3"/>
        <v>1.7163675468283943</v>
      </c>
      <c r="J29" s="214">
        <f t="shared" si="3"/>
        <v>1.8801864447354322</v>
      </c>
      <c r="K29" s="214">
        <f t="shared" si="3"/>
        <v>2.0308334688319496</v>
      </c>
      <c r="L29" s="214">
        <f t="shared" si="3"/>
        <v>2.1710522999893747</v>
      </c>
      <c r="M29" s="214">
        <f t="shared" si="3"/>
        <v>2.4273102627417535</v>
      </c>
      <c r="N29" s="214">
        <f t="shared" si="3"/>
        <v>2.6589851699349</v>
      </c>
      <c r="O29" s="212">
        <f t="shared" si="3"/>
        <v>2.872032234543341</v>
      </c>
      <c r="Q29" s="256"/>
      <c r="R29" s="269"/>
      <c r="S29" s="269"/>
      <c r="T29" s="269"/>
      <c r="U29" s="269"/>
    </row>
    <row r="30" spans="2:22" s="261" customFormat="1" ht="12.75" customHeight="1">
      <c r="B30" s="270"/>
      <c r="C30" s="271"/>
      <c r="O30" s="272"/>
      <c r="Q30" s="39"/>
      <c r="R30" s="40"/>
      <c r="S30" s="40"/>
      <c r="T30" s="41"/>
      <c r="U30" s="42"/>
      <c r="V30" s="43"/>
    </row>
    <row r="31" spans="2:22" s="261" customFormat="1" ht="18" customHeight="1">
      <c r="B31" s="270"/>
      <c r="C31" s="271"/>
      <c r="D31" s="220" t="s">
        <v>31</v>
      </c>
      <c r="E31" s="1005" t="s">
        <v>134</v>
      </c>
      <c r="F31" s="1005"/>
      <c r="G31" s="241"/>
      <c r="H31" s="273"/>
      <c r="I31" s="273"/>
      <c r="J31" s="273"/>
      <c r="K31" s="273"/>
      <c r="L31" s="273"/>
      <c r="O31" s="272"/>
      <c r="Q31" s="44"/>
      <c r="R31" s="36"/>
      <c r="S31" s="36"/>
      <c r="T31" s="32"/>
      <c r="U31" s="4"/>
      <c r="V31" s="50"/>
    </row>
    <row r="32" spans="2:22" s="261" customFormat="1" ht="14.25" customHeight="1">
      <c r="B32" s="270"/>
      <c r="C32" s="271"/>
      <c r="D32" s="273"/>
      <c r="E32" s="273"/>
      <c r="F32" s="273"/>
      <c r="G32" s="273"/>
      <c r="H32" s="273"/>
      <c r="I32" s="273"/>
      <c r="J32" s="273"/>
      <c r="K32" s="273"/>
      <c r="L32" s="273"/>
      <c r="O32" s="272"/>
      <c r="Q32" s="274" t="s">
        <v>126</v>
      </c>
      <c r="R32" s="275">
        <v>0.9</v>
      </c>
      <c r="S32" s="276"/>
      <c r="T32" s="277" t="s">
        <v>127</v>
      </c>
      <c r="U32" s="278">
        <v>8.7</v>
      </c>
      <c r="V32" s="45"/>
    </row>
    <row r="33" spans="2:22" ht="18" customHeight="1">
      <c r="B33" s="198"/>
      <c r="C33" s="194"/>
      <c r="D33" s="220" t="s">
        <v>31</v>
      </c>
      <c r="E33" s="229" t="s">
        <v>25</v>
      </c>
      <c r="F33" s="229"/>
      <c r="G33" s="229"/>
      <c r="H33" s="229"/>
      <c r="I33" s="229"/>
      <c r="J33" s="229"/>
      <c r="K33" s="229"/>
      <c r="L33" s="229"/>
      <c r="M33" s="194"/>
      <c r="N33" s="194"/>
      <c r="O33" s="222"/>
      <c r="Q33" s="274" t="s">
        <v>126</v>
      </c>
      <c r="R33" s="275">
        <v>0.9</v>
      </c>
      <c r="S33" s="276"/>
      <c r="T33" s="277" t="s">
        <v>127</v>
      </c>
      <c r="U33" s="278">
        <v>15.6</v>
      </c>
      <c r="V33" s="45"/>
    </row>
    <row r="34" spans="2:22" ht="15" customHeight="1">
      <c r="B34" s="198"/>
      <c r="C34" s="194"/>
      <c r="D34" s="220" t="s">
        <v>32</v>
      </c>
      <c r="E34" s="229" t="s">
        <v>26</v>
      </c>
      <c r="F34" s="229"/>
      <c r="G34" s="229"/>
      <c r="H34" s="229"/>
      <c r="I34" s="229"/>
      <c r="J34" s="229"/>
      <c r="K34" s="229"/>
      <c r="L34" s="229"/>
      <c r="M34" s="194"/>
      <c r="N34" s="194"/>
      <c r="O34" s="222"/>
      <c r="Q34" s="47" t="s">
        <v>22</v>
      </c>
      <c r="R34" s="28" t="s">
        <v>21</v>
      </c>
      <c r="S34" s="28" t="s">
        <v>23</v>
      </c>
      <c r="T34" s="37"/>
      <c r="U34" s="18"/>
      <c r="V34" s="48"/>
    </row>
    <row r="35" spans="2:22" ht="15" customHeight="1" thickBot="1">
      <c r="B35" s="198"/>
      <c r="C35" s="194"/>
      <c r="D35" s="220" t="s">
        <v>135</v>
      </c>
      <c r="E35" s="229" t="s">
        <v>27</v>
      </c>
      <c r="F35" s="229"/>
      <c r="G35" s="229"/>
      <c r="H35" s="229"/>
      <c r="I35" s="229"/>
      <c r="J35" s="991" t="s">
        <v>128</v>
      </c>
      <c r="K35" s="991"/>
      <c r="L35" s="279">
        <f>U32</f>
        <v>8.7</v>
      </c>
      <c r="M35" s="194"/>
      <c r="N35" s="194"/>
      <c r="O35" s="222"/>
      <c r="Q35" s="113">
        <f>R23</f>
        <v>0.7153617328464988</v>
      </c>
      <c r="R35" s="30"/>
      <c r="S35" s="26"/>
      <c r="T35" s="114"/>
      <c r="U35" s="3"/>
      <c r="V35" s="115"/>
    </row>
    <row r="36" spans="2:22" ht="15" customHeight="1">
      <c r="B36" s="198"/>
      <c r="C36" s="194"/>
      <c r="D36" s="220" t="s">
        <v>136</v>
      </c>
      <c r="E36" s="229" t="s">
        <v>27</v>
      </c>
      <c r="F36" s="229"/>
      <c r="G36" s="229"/>
      <c r="H36" s="229"/>
      <c r="I36" s="229"/>
      <c r="J36" s="991" t="s">
        <v>129</v>
      </c>
      <c r="K36" s="991"/>
      <c r="L36" s="279">
        <f>U33</f>
        <v>15.6</v>
      </c>
      <c r="M36" s="194"/>
      <c r="N36" s="194"/>
      <c r="O36" s="222"/>
      <c r="Q36" s="280" t="s">
        <v>40</v>
      </c>
      <c r="R36" s="108">
        <f>((0.278*$K$17*POWER(10,-6)*(($R$32*$U$32))))</f>
        <v>0.00032988494699999997</v>
      </c>
      <c r="S36" s="109"/>
      <c r="T36" s="107"/>
      <c r="U36" s="110"/>
      <c r="V36" s="281"/>
    </row>
    <row r="37" spans="2:22" ht="15" customHeight="1" thickBot="1">
      <c r="B37" s="198"/>
      <c r="C37" s="194"/>
      <c r="D37" s="282" t="s">
        <v>137</v>
      </c>
      <c r="E37" s="283" t="s">
        <v>130</v>
      </c>
      <c r="F37" s="284"/>
      <c r="G37" s="284"/>
      <c r="H37" s="284"/>
      <c r="I37" s="284"/>
      <c r="J37" s="284"/>
      <c r="K37" s="284"/>
      <c r="L37" s="285"/>
      <c r="M37" s="194"/>
      <c r="N37" s="194"/>
      <c r="O37" s="222"/>
      <c r="Q37" s="53" t="s">
        <v>41</v>
      </c>
      <c r="R37" s="54">
        <f>((0.278*$K$17*POWER(10,-6)*(($R$33*$U$33))))</f>
        <v>0.000591517836</v>
      </c>
      <c r="S37" s="55"/>
      <c r="T37" s="56"/>
      <c r="U37" s="57"/>
      <c r="V37" s="59"/>
    </row>
    <row r="38" spans="2:15" ht="15" customHeight="1">
      <c r="B38" s="198"/>
      <c r="C38" s="194"/>
      <c r="M38" s="194"/>
      <c r="N38" s="194"/>
      <c r="O38" s="222"/>
    </row>
    <row r="39" spans="2:20" ht="12" customHeight="1">
      <c r="B39" s="286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87"/>
      <c r="R39" s="163"/>
      <c r="S39" s="163"/>
      <c r="T39" s="288"/>
    </row>
    <row r="40" spans="8:22" s="194" customFormat="1" ht="15.75" customHeight="1">
      <c r="H40" s="229"/>
      <c r="Q40" s="100"/>
      <c r="R40" s="163"/>
      <c r="S40" s="163"/>
      <c r="T40" s="288"/>
      <c r="U40" s="100"/>
      <c r="V40" s="100"/>
    </row>
    <row r="41" ht="12">
      <c r="H41" s="194"/>
    </row>
  </sheetData>
  <sheetProtection/>
  <mergeCells count="46">
    <mergeCell ref="F4:O4"/>
    <mergeCell ref="E31:F31"/>
    <mergeCell ref="B14:C14"/>
    <mergeCell ref="B15:C15"/>
    <mergeCell ref="B16:C16"/>
    <mergeCell ref="B18:C18"/>
    <mergeCell ref="F24:F25"/>
    <mergeCell ref="B23:C24"/>
    <mergeCell ref="E24:E25"/>
    <mergeCell ref="B17:C17"/>
    <mergeCell ref="B26:B27"/>
    <mergeCell ref="R8:S8"/>
    <mergeCell ref="Q22:Q23"/>
    <mergeCell ref="I24:I25"/>
    <mergeCell ref="G24:G25"/>
    <mergeCell ref="J35:K35"/>
    <mergeCell ref="M24:M25"/>
    <mergeCell ref="D24:D25"/>
    <mergeCell ref="D12:M12"/>
    <mergeCell ref="D10:M10"/>
    <mergeCell ref="J36:K36"/>
    <mergeCell ref="L14:N14"/>
    <mergeCell ref="N24:N25"/>
    <mergeCell ref="J24:J25"/>
    <mergeCell ref="D22:O23"/>
    <mergeCell ref="H24:H25"/>
    <mergeCell ref="O24:O25"/>
    <mergeCell ref="J14:K14"/>
    <mergeCell ref="K24:K25"/>
    <mergeCell ref="L24:L25"/>
    <mergeCell ref="AG5:AI5"/>
    <mergeCell ref="AA9:AG9"/>
    <mergeCell ref="AB10:AG10"/>
    <mergeCell ref="AM11:AN11"/>
    <mergeCell ref="D7:M7"/>
    <mergeCell ref="D8:M8"/>
    <mergeCell ref="F5:O5"/>
    <mergeCell ref="B2:E5"/>
    <mergeCell ref="F2:O2"/>
    <mergeCell ref="F3:O3"/>
    <mergeCell ref="AC12:AD12"/>
    <mergeCell ref="AA13:AA14"/>
    <mergeCell ref="AD13:AE13"/>
    <mergeCell ref="AG13:AI13"/>
    <mergeCell ref="AB14:AD14"/>
    <mergeCell ref="AG14:AI14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3"/>
  <legacyDrawing r:id="rId2"/>
  <oleObjects>
    <oleObject progId="Equation.3" shapeId="468933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21.75" customHeight="1">
      <c r="C2" s="878"/>
      <c r="D2" s="879"/>
      <c r="E2" s="879"/>
      <c r="F2" s="880"/>
      <c r="G2" s="861" t="str">
        <f>'BASE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21.75" customHeight="1">
      <c r="C3" s="881"/>
      <c r="D3" s="882"/>
      <c r="E3" s="882"/>
      <c r="F3" s="883"/>
      <c r="G3" s="864" t="str">
        <f>'BASE '!G3</f>
        <v>Aeroporto de Diamantina</v>
      </c>
      <c r="H3" s="865"/>
      <c r="I3" s="865"/>
      <c r="J3" s="865"/>
      <c r="K3" s="865"/>
      <c r="L3" s="865"/>
      <c r="M3" s="865"/>
      <c r="N3" s="865"/>
      <c r="O3" s="866"/>
    </row>
    <row r="4" spans="3:18" ht="21.75" customHeight="1">
      <c r="C4" s="881"/>
      <c r="D4" s="882"/>
      <c r="E4" s="882"/>
      <c r="F4" s="883"/>
      <c r="G4" s="864" t="str">
        <f>'BASE '!G4</f>
        <v>A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21.75" customHeight="1">
      <c r="C5" s="884"/>
      <c r="D5" s="885"/>
      <c r="E5" s="885"/>
      <c r="F5" s="886"/>
      <c r="G5" s="908" t="str">
        <f>'BASE '!G5</f>
        <v>B</v>
      </c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28" t="s">
        <v>49</v>
      </c>
      <c r="E7" s="828"/>
      <c r="F7" s="828"/>
      <c r="G7" s="828"/>
      <c r="H7" s="828"/>
      <c r="I7" s="828"/>
      <c r="J7" s="828"/>
      <c r="K7" s="828"/>
      <c r="L7" s="828"/>
      <c r="M7" s="828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9.5" customHeight="1">
      <c r="C9" s="82"/>
      <c r="D9" s="5"/>
      <c r="E9" s="122"/>
      <c r="F9" s="5"/>
      <c r="G9" s="5"/>
      <c r="H9" s="5"/>
      <c r="I9" s="5"/>
      <c r="J9" s="5"/>
      <c r="K9" s="5"/>
      <c r="L9" s="5"/>
      <c r="M9" s="5"/>
      <c r="N9" s="5"/>
      <c r="O9" s="83"/>
    </row>
    <row r="10" spans="3:15" ht="12.75">
      <c r="C10" s="82"/>
      <c r="D10" s="888" t="s">
        <v>175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</row>
    <row r="11" spans="3:15" ht="12.75">
      <c r="C11" s="82"/>
      <c r="M11" s="5"/>
      <c r="N11" s="5"/>
      <c r="O11" s="83"/>
    </row>
    <row r="12" spans="3:15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</row>
    <row r="13" spans="3:15" ht="19.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v>0.0344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'BASE '!$L$14</f>
        <v>São Luís Ma</v>
      </c>
      <c r="M14" s="922"/>
      <c r="N14" s="922"/>
      <c r="O14" s="83"/>
    </row>
    <row r="15" spans="3:15" ht="15" customHeight="1">
      <c r="C15" s="87" t="s">
        <v>5</v>
      </c>
      <c r="D15" s="125">
        <v>0.65</v>
      </c>
      <c r="E15" s="5" t="s">
        <v>7</v>
      </c>
      <c r="F15" s="8"/>
      <c r="G15" s="8"/>
      <c r="H15" s="8"/>
      <c r="I15" s="8"/>
      <c r="J15" s="6" t="s">
        <v>18</v>
      </c>
      <c r="K15" s="3">
        <f>'BASE '!K15</f>
        <v>10</v>
      </c>
      <c r="L15" s="5" t="s">
        <v>12</v>
      </c>
      <c r="M15" s="5"/>
      <c r="N15" s="5"/>
      <c r="O15" s="83"/>
    </row>
    <row r="16" spans="3:15" ht="15" customHeight="1">
      <c r="C16" s="87" t="s">
        <v>6</v>
      </c>
      <c r="D16" s="91">
        <f>D14/D15</f>
        <v>0.05292307692307692</v>
      </c>
      <c r="E16" s="8" t="s">
        <v>7</v>
      </c>
      <c r="F16" s="92">
        <f>POWER($D$16,2/3)</f>
        <v>0.14096027033156844</v>
      </c>
      <c r="G16" s="8"/>
      <c r="H16" s="8"/>
      <c r="I16" s="8"/>
      <c r="J16" s="6" t="s">
        <v>17</v>
      </c>
      <c r="K16" s="3">
        <f>'BASE '!K16</f>
        <v>10</v>
      </c>
      <c r="L16" s="5" t="s">
        <v>13</v>
      </c>
      <c r="M16" s="5"/>
      <c r="N16" s="5"/>
      <c r="O16" s="83"/>
    </row>
    <row r="17" spans="3:15" ht="15" customHeight="1" thickBot="1">
      <c r="C17" s="87" t="s">
        <v>9</v>
      </c>
      <c r="D17" s="91">
        <f>'BASE '!D17</f>
        <v>0.015</v>
      </c>
      <c r="E17" s="5"/>
      <c r="F17" s="5"/>
      <c r="G17" s="5"/>
      <c r="H17" s="5"/>
      <c r="I17" s="5"/>
      <c r="J17" s="6" t="s">
        <v>19</v>
      </c>
      <c r="K17" s="176">
        <f>'BASE '!K17</f>
        <v>126</v>
      </c>
      <c r="L17" s="8" t="s">
        <v>14</v>
      </c>
      <c r="M17" s="5"/>
      <c r="N17" s="5"/>
      <c r="O17" s="83"/>
    </row>
    <row r="18" spans="2:23" ht="18" customHeight="1">
      <c r="B18" s="60"/>
      <c r="C18" s="88" t="s">
        <v>97</v>
      </c>
      <c r="D18" s="426">
        <f>(D19*$D$14)</f>
        <v>0.022858562188062193</v>
      </c>
      <c r="E18" s="169">
        <f aca="true" t="shared" si="0" ref="E18:O18">(E19*$D$14)*1000</f>
        <v>32.32688866270637</v>
      </c>
      <c r="F18" s="169">
        <f t="shared" si="0"/>
        <v>39.59219109769652</v>
      </c>
      <c r="G18" s="169">
        <f t="shared" si="0"/>
        <v>45.71712437612439</v>
      </c>
      <c r="H18" s="169">
        <f t="shared" si="0"/>
        <v>51.1132989204134</v>
      </c>
      <c r="I18" s="169">
        <f t="shared" si="0"/>
        <v>55.99181361442974</v>
      </c>
      <c r="J18" s="169">
        <f t="shared" si="0"/>
        <v>60.47807087811703</v>
      </c>
      <c r="K18" s="169">
        <f t="shared" si="0"/>
        <v>64.65377732541273</v>
      </c>
      <c r="L18" s="169">
        <f t="shared" si="0"/>
        <v>68.57568656418657</v>
      </c>
      <c r="M18" s="169">
        <f t="shared" si="0"/>
        <v>72.2851205508787</v>
      </c>
      <c r="N18" s="169">
        <f t="shared" si="0"/>
        <v>79.18438219539304</v>
      </c>
      <c r="O18" s="381">
        <f t="shared" si="0"/>
        <v>85.52890806199441</v>
      </c>
      <c r="P18" s="13"/>
      <c r="Q18" s="39"/>
      <c r="R18" s="40"/>
      <c r="S18" s="40"/>
      <c r="T18" s="41"/>
      <c r="U18" s="42"/>
      <c r="V18" s="42"/>
      <c r="W18" s="43"/>
    </row>
    <row r="19" spans="2:23" ht="18" customHeight="1">
      <c r="B19" s="15"/>
      <c r="C19" s="382" t="s">
        <v>16</v>
      </c>
      <c r="D19" s="169">
        <f aca="true" t="shared" si="1" ref="D19:O19">($F$16/$D$17)*POWER(D22/100,1/2)</f>
        <v>0.664493086862273</v>
      </c>
      <c r="E19" s="169">
        <f t="shared" si="1"/>
        <v>0.9397351355437897</v>
      </c>
      <c r="F19" s="169">
        <f t="shared" si="1"/>
        <v>1.150935787723736</v>
      </c>
      <c r="G19" s="169">
        <f t="shared" si="1"/>
        <v>1.328986173724546</v>
      </c>
      <c r="H19" s="169">
        <f t="shared" si="1"/>
        <v>1.485851712802715</v>
      </c>
      <c r="I19" s="169">
        <f t="shared" si="1"/>
        <v>1.6276690004194692</v>
      </c>
      <c r="J19" s="169">
        <f t="shared" si="1"/>
        <v>1.758083455759216</v>
      </c>
      <c r="K19" s="169">
        <f t="shared" si="1"/>
        <v>1.8794702710875795</v>
      </c>
      <c r="L19" s="169">
        <f t="shared" si="1"/>
        <v>1.993479260586819</v>
      </c>
      <c r="M19" s="169">
        <f t="shared" si="1"/>
        <v>2.1013116439208925</v>
      </c>
      <c r="N19" s="169">
        <f t="shared" si="1"/>
        <v>2.301871575447472</v>
      </c>
      <c r="O19" s="383">
        <f t="shared" si="1"/>
        <v>2.4863054669184423</v>
      </c>
      <c r="P19" s="19">
        <v>0.4</v>
      </c>
      <c r="Q19" s="44"/>
      <c r="R19" s="36"/>
      <c r="S19" s="36"/>
      <c r="T19" s="32"/>
      <c r="U19" s="4"/>
      <c r="V19" s="35"/>
      <c r="W19" s="50"/>
    </row>
    <row r="20" spans="2:23" ht="12.75">
      <c r="B20" s="22"/>
      <c r="C20" s="23"/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8"/>
      <c r="Q20" s="46" t="s">
        <v>10</v>
      </c>
      <c r="R20" s="124">
        <v>0.9</v>
      </c>
      <c r="S20" s="31"/>
      <c r="T20" s="38" t="s">
        <v>11</v>
      </c>
      <c r="U20" s="124">
        <v>6</v>
      </c>
      <c r="V20" s="5"/>
      <c r="W20" s="45"/>
    </row>
    <row r="21" spans="2:23" ht="12.75">
      <c r="B21" s="6"/>
      <c r="C21" s="938" t="s">
        <v>39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46" t="s">
        <v>10</v>
      </c>
      <c r="R21" s="124">
        <v>0.9</v>
      </c>
      <c r="S21" s="31"/>
      <c r="T21" s="38" t="s">
        <v>11</v>
      </c>
      <c r="U21" s="124">
        <v>12</v>
      </c>
      <c r="V21" s="5"/>
      <c r="W21" s="45"/>
    </row>
    <row r="22" spans="2:23" ht="12.75">
      <c r="B22" s="7"/>
      <c r="C22" s="938"/>
      <c r="D22" s="939">
        <v>0.5</v>
      </c>
      <c r="E22" s="975">
        <v>1</v>
      </c>
      <c r="F22" s="975">
        <v>1.5</v>
      </c>
      <c r="G22" s="975">
        <v>2</v>
      </c>
      <c r="H22" s="975">
        <v>2.5</v>
      </c>
      <c r="I22" s="975">
        <v>3</v>
      </c>
      <c r="J22" s="975">
        <v>3.5</v>
      </c>
      <c r="K22" s="975">
        <v>4</v>
      </c>
      <c r="L22" s="975">
        <v>4.5</v>
      </c>
      <c r="M22" s="975">
        <v>5</v>
      </c>
      <c r="N22" s="975">
        <v>6</v>
      </c>
      <c r="O22" s="973">
        <v>7</v>
      </c>
      <c r="Q22" s="47" t="s">
        <v>22</v>
      </c>
      <c r="R22" s="28" t="s">
        <v>21</v>
      </c>
      <c r="S22" s="28" t="s">
        <v>23</v>
      </c>
      <c r="T22" s="37"/>
      <c r="U22" s="18"/>
      <c r="V22" s="18"/>
      <c r="W22" s="48"/>
    </row>
    <row r="23" spans="2:23" ht="13.5" thickBot="1">
      <c r="B23" s="22"/>
      <c r="C23" s="25"/>
      <c r="D23" s="940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4"/>
      <c r="Q23" s="113">
        <f>($D$14*$F$16)/$D$17</f>
        <v>0.3232688866270636</v>
      </c>
      <c r="R23" s="30"/>
      <c r="S23" s="26"/>
      <c r="T23" s="114"/>
      <c r="U23" s="3"/>
      <c r="V23" s="3"/>
      <c r="W23" s="115"/>
    </row>
    <row r="24" spans="2:23" ht="21" customHeight="1">
      <c r="B24" s="22"/>
      <c r="C24" s="941" t="s">
        <v>40</v>
      </c>
      <c r="D24" s="943">
        <f>(($Q$23/$R$24)/10)*SQRT(D22)</f>
        <v>120.84809500580586</v>
      </c>
      <c r="E24" s="945">
        <f aca="true" t="shared" si="2" ref="E24:O24">(($Q$23/$R$24)/10)*SQRT(E22)</f>
        <v>170.90501494416293</v>
      </c>
      <c r="F24" s="945">
        <f t="shared" si="2"/>
        <v>209.31504054796642</v>
      </c>
      <c r="G24" s="945">
        <f t="shared" si="2"/>
        <v>241.69619001161172</v>
      </c>
      <c r="H24" s="945">
        <f t="shared" si="2"/>
        <v>270.22455538433474</v>
      </c>
      <c r="I24" s="945">
        <f t="shared" si="2"/>
        <v>296.01616915160844</v>
      </c>
      <c r="J24" s="945">
        <f t="shared" si="2"/>
        <v>319.734005801269</v>
      </c>
      <c r="K24" s="945">
        <f t="shared" si="2"/>
        <v>341.81002988832586</v>
      </c>
      <c r="L24" s="945">
        <f t="shared" si="2"/>
        <v>362.5442850174175</v>
      </c>
      <c r="M24" s="945">
        <f t="shared" si="2"/>
        <v>382.1552311107657</v>
      </c>
      <c r="N24" s="945">
        <f t="shared" si="2"/>
        <v>418.63008109593284</v>
      </c>
      <c r="O24" s="947">
        <f t="shared" si="2"/>
        <v>452.17216735603256</v>
      </c>
      <c r="Q24" s="280"/>
      <c r="R24" s="108">
        <f>((0.278*$K$17*POWER(10,-6)*(($R$20*$U$20))))</f>
        <v>0.00018915120000000005</v>
      </c>
      <c r="S24" s="109">
        <f>($Q$23/R24)/10</f>
        <v>170.90501494416293</v>
      </c>
      <c r="T24" s="107"/>
      <c r="U24" s="110"/>
      <c r="V24" s="384"/>
      <c r="W24" s="281"/>
    </row>
    <row r="25" spans="2:23" ht="21" customHeight="1" thickBot="1">
      <c r="B25" s="22"/>
      <c r="C25" s="942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53"/>
      <c r="R25" s="54">
        <f>((0.278*$K$17*POWER(10,-6)*(($R$21*$U$21))))</f>
        <v>0.0003783024000000001</v>
      </c>
      <c r="S25" s="55">
        <f>($Q$23/R25)/10</f>
        <v>85.45250747208146</v>
      </c>
      <c r="T25" s="56"/>
      <c r="U25" s="57"/>
      <c r="V25" s="58"/>
      <c r="W25" s="59"/>
    </row>
    <row r="26" spans="3:15" ht="21" customHeight="1">
      <c r="C26" s="949" t="s">
        <v>41</v>
      </c>
      <c r="D26" s="943">
        <f>(($Q$23/$R$25)/10)*SQRT(D22)</f>
        <v>60.42404750290293</v>
      </c>
      <c r="E26" s="945">
        <f aca="true" t="shared" si="3" ref="E26:O26">(($Q$23/$R$25)/10)*SQRT(E22)</f>
        <v>85.45250747208146</v>
      </c>
      <c r="F26" s="945">
        <f t="shared" si="3"/>
        <v>104.65752027398321</v>
      </c>
      <c r="G26" s="945">
        <f t="shared" si="3"/>
        <v>120.84809500580586</v>
      </c>
      <c r="H26" s="945">
        <f t="shared" si="3"/>
        <v>135.11227769216737</v>
      </c>
      <c r="I26" s="945">
        <f t="shared" si="3"/>
        <v>148.00808457580422</v>
      </c>
      <c r="J26" s="945">
        <f t="shared" si="3"/>
        <v>159.8670029006345</v>
      </c>
      <c r="K26" s="945">
        <f t="shared" si="3"/>
        <v>170.90501494416293</v>
      </c>
      <c r="L26" s="945">
        <f t="shared" si="3"/>
        <v>181.27214250870875</v>
      </c>
      <c r="M26" s="945">
        <f t="shared" si="3"/>
        <v>191.07761555538286</v>
      </c>
      <c r="N26" s="945">
        <f t="shared" si="3"/>
        <v>209.31504054796642</v>
      </c>
      <c r="O26" s="947">
        <f t="shared" si="3"/>
        <v>226.08608367801628</v>
      </c>
    </row>
    <row r="27" spans="3:15" ht="18" customHeight="1">
      <c r="C27" s="950"/>
      <c r="D27" s="944"/>
      <c r="E27" s="946"/>
      <c r="F27" s="946"/>
      <c r="G27" s="946"/>
      <c r="H27" s="946"/>
      <c r="I27" s="946"/>
      <c r="J27" s="946"/>
      <c r="K27" s="946"/>
      <c r="L27" s="946"/>
      <c r="M27" s="946"/>
      <c r="N27" s="946"/>
      <c r="O27" s="948"/>
    </row>
    <row r="28" spans="3:18" ht="13.5" customHeight="1">
      <c r="C28" s="111"/>
      <c r="O28" s="112"/>
      <c r="R28">
        <f>1/4</f>
        <v>0.25</v>
      </c>
    </row>
    <row r="29" spans="3:15" ht="18" customHeight="1">
      <c r="C29" s="111"/>
      <c r="O29" s="112"/>
    </row>
    <row r="30" spans="3:15" ht="18" customHeight="1">
      <c r="C30" s="111"/>
      <c r="O30" s="112"/>
    </row>
    <row r="31" spans="3:15" ht="18" customHeight="1">
      <c r="C31" s="111"/>
      <c r="O31" s="112"/>
    </row>
    <row r="32" spans="3:15" ht="15" customHeight="1">
      <c r="C32" s="111"/>
      <c r="O32" s="112"/>
    </row>
    <row r="33" spans="2:15" ht="18" customHeight="1">
      <c r="B33" s="21"/>
      <c r="C33" s="8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3"/>
    </row>
    <row r="34" spans="3:15" ht="18" customHeight="1">
      <c r="C34" s="82"/>
      <c r="D34" s="6" t="s">
        <v>31</v>
      </c>
      <c r="E34" s="920">
        <f>Q39</f>
        <v>922.88708069848</v>
      </c>
      <c r="F34" s="920"/>
      <c r="G34" s="3" t="s">
        <v>33</v>
      </c>
      <c r="H34" s="183" t="s">
        <v>98</v>
      </c>
      <c r="I34" s="5" t="s">
        <v>42</v>
      </c>
      <c r="J34" s="5"/>
      <c r="K34" s="5"/>
      <c r="L34" s="5"/>
      <c r="M34" s="5"/>
      <c r="N34" s="5"/>
      <c r="O34" s="83"/>
    </row>
    <row r="35" spans="3:21" ht="15" customHeight="1">
      <c r="C35" s="82"/>
      <c r="D35" s="5"/>
      <c r="E35" s="5"/>
      <c r="F35" s="5"/>
      <c r="G35" s="5"/>
      <c r="I35" s="5"/>
      <c r="J35" s="5"/>
      <c r="K35" s="5"/>
      <c r="L35" s="5"/>
      <c r="M35" s="5"/>
      <c r="N35" s="5"/>
      <c r="O35" s="83"/>
      <c r="T35" s="1"/>
      <c r="U35" s="1"/>
    </row>
    <row r="36" spans="3:21" ht="15" customHeight="1">
      <c r="C36" s="8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6" t="s">
        <v>31</v>
      </c>
      <c r="E37" s="5" t="s">
        <v>25</v>
      </c>
      <c r="F37" s="5"/>
      <c r="G37" s="5"/>
      <c r="H37" s="5"/>
      <c r="I37" s="5"/>
      <c r="J37" s="5"/>
      <c r="K37" s="5"/>
      <c r="L37" s="5"/>
      <c r="M37" s="5"/>
      <c r="N37" s="5"/>
      <c r="O37" s="83"/>
      <c r="Q37" s="97">
        <f>Q23</f>
        <v>0.3232688866270636</v>
      </c>
      <c r="T37" s="1"/>
      <c r="U37" s="1"/>
    </row>
    <row r="38" spans="3:21" ht="15" customHeight="1">
      <c r="C38" s="82"/>
      <c r="D38" s="6" t="s">
        <v>32</v>
      </c>
      <c r="E38" s="5" t="s">
        <v>26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8">
        <f>((0.278*$K$17*POWER(10,-6)))</f>
        <v>3.5028000000000004E-05</v>
      </c>
      <c r="T38" s="1"/>
      <c r="U38" s="1"/>
    </row>
    <row r="39" spans="3:21" ht="15" customHeight="1">
      <c r="C39" s="82"/>
      <c r="D39" s="6" t="s">
        <v>29</v>
      </c>
      <c r="E39" s="5" t="s">
        <v>172</v>
      </c>
      <c r="F39" s="5"/>
      <c r="G39" s="5"/>
      <c r="H39" s="5"/>
      <c r="I39" s="5"/>
      <c r="J39" s="5"/>
      <c r="K39" s="5"/>
      <c r="L39" s="118">
        <f>U20</f>
        <v>6</v>
      </c>
      <c r="M39" s="5"/>
      <c r="N39" s="5"/>
      <c r="O39" s="83"/>
      <c r="Q39" s="102">
        <f>(Q37/Q38)/10</f>
        <v>922.88708069848</v>
      </c>
      <c r="T39" s="1"/>
      <c r="U39" s="1"/>
    </row>
    <row r="40" spans="3:21" ht="15" customHeight="1">
      <c r="C40" s="82"/>
      <c r="D40" s="6" t="s">
        <v>29</v>
      </c>
      <c r="E40" s="5" t="s">
        <v>173</v>
      </c>
      <c r="F40" s="5"/>
      <c r="G40" s="5"/>
      <c r="H40" s="5"/>
      <c r="I40" s="5"/>
      <c r="J40" s="5"/>
      <c r="K40" s="5"/>
      <c r="L40" s="118">
        <f>U21</f>
        <v>12</v>
      </c>
      <c r="M40" s="5"/>
      <c r="N40" s="5"/>
      <c r="O40" s="83"/>
      <c r="Q40" s="99"/>
      <c r="T40" s="1"/>
      <c r="U40" s="1"/>
    </row>
    <row r="41" spans="3:21" ht="15" customHeight="1">
      <c r="C41" s="82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83"/>
      <c r="Q41" s="100"/>
      <c r="T41" s="1"/>
      <c r="U41" s="1"/>
    </row>
    <row r="42" spans="3:21" ht="9.75" customHeight="1">
      <c r="C42" s="82"/>
      <c r="D42" s="6"/>
      <c r="E42" s="5"/>
      <c r="F42" s="5"/>
      <c r="G42" s="5"/>
      <c r="H42" s="5"/>
      <c r="I42" s="5"/>
      <c r="J42" s="5"/>
      <c r="K42" s="5"/>
      <c r="L42" s="96"/>
      <c r="M42" s="5"/>
      <c r="N42" s="5"/>
      <c r="O42" s="83"/>
      <c r="R42" s="101"/>
      <c r="T42" s="1"/>
      <c r="U42" s="1"/>
    </row>
    <row r="43" spans="3:21" ht="19.5" customHeight="1">
      <c r="C43" s="952" t="s">
        <v>174</v>
      </c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4"/>
      <c r="T43" s="1"/>
      <c r="U43" s="1"/>
    </row>
    <row r="44" spans="20:21" s="5" customFormat="1" ht="15" customHeight="1">
      <c r="T44" s="3"/>
      <c r="U44" s="3"/>
    </row>
    <row r="45" ht="12.75">
      <c r="H45" s="5"/>
    </row>
  </sheetData>
  <sheetProtection/>
  <mergeCells count="54">
    <mergeCell ref="C2:F5"/>
    <mergeCell ref="G3:O3"/>
    <mergeCell ref="O26:O27"/>
    <mergeCell ref="C43:O43"/>
    <mergeCell ref="K26:K27"/>
    <mergeCell ref="L26:L27"/>
    <mergeCell ref="M26:M27"/>
    <mergeCell ref="N26:N27"/>
    <mergeCell ref="G26:G27"/>
    <mergeCell ref="H26:H27"/>
    <mergeCell ref="I26:I27"/>
    <mergeCell ref="J26:J27"/>
    <mergeCell ref="C26:C27"/>
    <mergeCell ref="D26:D27"/>
    <mergeCell ref="E26:E27"/>
    <mergeCell ref="F26:F27"/>
    <mergeCell ref="C24:C25"/>
    <mergeCell ref="M24:M25"/>
    <mergeCell ref="N24:N25"/>
    <mergeCell ref="E22:E23"/>
    <mergeCell ref="O24:O25"/>
    <mergeCell ref="I24:I25"/>
    <mergeCell ref="J24:J25"/>
    <mergeCell ref="K24:K25"/>
    <mergeCell ref="L24:L25"/>
    <mergeCell ref="D8:M8"/>
    <mergeCell ref="K22:K23"/>
    <mergeCell ref="L22:L23"/>
    <mergeCell ref="M22:M23"/>
    <mergeCell ref="D22:D23"/>
    <mergeCell ref="J14:K14"/>
    <mergeCell ref="F22:F23"/>
    <mergeCell ref="G22:G23"/>
    <mergeCell ref="I22:I23"/>
    <mergeCell ref="E34:F34"/>
    <mergeCell ref="L14:N14"/>
    <mergeCell ref="C21:C22"/>
    <mergeCell ref="N22:N23"/>
    <mergeCell ref="D24:D25"/>
    <mergeCell ref="E24:E25"/>
    <mergeCell ref="F24:F25"/>
    <mergeCell ref="G24:G25"/>
    <mergeCell ref="H24:H25"/>
    <mergeCell ref="J22:J23"/>
    <mergeCell ref="Q4:R4"/>
    <mergeCell ref="O22:O23"/>
    <mergeCell ref="G2:O2"/>
    <mergeCell ref="G4:O4"/>
    <mergeCell ref="G5:O5"/>
    <mergeCell ref="D10:M10"/>
    <mergeCell ref="D12:M12"/>
    <mergeCell ref="D20:O21"/>
    <mergeCell ref="H22:H23"/>
    <mergeCell ref="D7:M7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3"/>
  <legacyDrawing r:id="rId2"/>
  <oleObjects>
    <oleObject progId="Equation.3" shapeId="575088" r:id="rId1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B1:AG44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10.7109375" style="2" customWidth="1"/>
    <col min="4" max="4" width="5.7109375" style="2" customWidth="1"/>
    <col min="5" max="5" width="5.57421875" style="2" customWidth="1"/>
    <col min="6" max="6" width="5.710937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17.57421875" style="2" customWidth="1"/>
    <col min="19" max="19" width="7.8515625" style="2" customWidth="1"/>
    <col min="20" max="20" width="7.421875" style="2" customWidth="1"/>
    <col min="21" max="21" width="7.57421875" style="2" customWidth="1"/>
    <col min="22" max="22" width="8.7109375" style="2" customWidth="1"/>
    <col min="23" max="23" width="6.8515625" style="2" customWidth="1"/>
    <col min="24" max="24" width="9.140625" style="2" customWidth="1"/>
    <col min="25" max="27" width="6.7109375" style="2" customWidth="1"/>
    <col min="28" max="29" width="9.140625" style="2" customWidth="1"/>
    <col min="30" max="30" width="11.00390625" style="2" customWidth="1"/>
    <col min="31" max="32" width="4.7109375" style="2" customWidth="1"/>
    <col min="33" max="33" width="6.421875" style="2" customWidth="1"/>
    <col min="34" max="16384" width="9.140625" style="2" customWidth="1"/>
  </cols>
  <sheetData>
    <row r="1" ht="6" customHeight="1">
      <c r="H1" s="35"/>
    </row>
    <row r="2" spans="3:19" ht="19.5" customHeight="1">
      <c r="C2" s="79"/>
      <c r="D2" s="80"/>
      <c r="E2" s="80"/>
      <c r="F2" s="81"/>
      <c r="G2" s="861" t="str">
        <f>'[6]BASE'!G2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9" ht="19.5" customHeight="1">
      <c r="C3" s="634"/>
      <c r="D3" s="5"/>
      <c r="E3" s="5"/>
      <c r="F3" s="83"/>
      <c r="G3" s="864" t="s">
        <v>315</v>
      </c>
      <c r="H3" s="865"/>
      <c r="I3" s="865"/>
      <c r="J3" s="865"/>
      <c r="K3" s="865"/>
      <c r="L3" s="865"/>
      <c r="M3" s="865"/>
      <c r="N3" s="865"/>
      <c r="O3" s="866"/>
      <c r="P3" s="299"/>
      <c r="R3" s="14" t="s">
        <v>320</v>
      </c>
      <c r="S3" s="2" t="s">
        <v>321</v>
      </c>
    </row>
    <row r="4" spans="3:21" ht="19.5" customHeight="1">
      <c r="C4" s="634"/>
      <c r="D4" s="5"/>
      <c r="E4" s="5"/>
      <c r="F4" s="83"/>
      <c r="G4" s="864" t="s">
        <v>316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2" ht="19.5" customHeight="1">
      <c r="C5" s="84"/>
      <c r="D5" s="35"/>
      <c r="E5" s="35"/>
      <c r="F5" s="85"/>
      <c r="G5" s="1019" t="s">
        <v>317</v>
      </c>
      <c r="H5" s="1020"/>
      <c r="I5" s="1020"/>
      <c r="J5" s="1020"/>
      <c r="K5" s="1020"/>
      <c r="L5" s="1020"/>
      <c r="M5" s="1020"/>
      <c r="N5" s="1020"/>
      <c r="O5" s="1021"/>
      <c r="P5" s="299"/>
      <c r="Q5" s="10"/>
      <c r="R5" s="229" t="s">
        <v>322</v>
      </c>
      <c r="S5" s="229">
        <v>0.278</v>
      </c>
      <c r="T5" s="169"/>
      <c r="U5" s="34"/>
      <c r="V5" s="192"/>
    </row>
    <row r="6" spans="3:22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279" t="s">
        <v>323</v>
      </c>
      <c r="S6" s="279">
        <v>0.3</v>
      </c>
      <c r="T6" s="652"/>
      <c r="U6" s="303"/>
      <c r="V6" s="192"/>
    </row>
    <row r="7" spans="2:21" s="75" customFormat="1" ht="21" customHeight="1">
      <c r="B7" s="74"/>
      <c r="C7" s="86"/>
      <c r="D7" s="828" t="s">
        <v>307</v>
      </c>
      <c r="E7" s="828"/>
      <c r="F7" s="828"/>
      <c r="G7" s="828"/>
      <c r="H7" s="828"/>
      <c r="I7" s="828"/>
      <c r="J7" s="828"/>
      <c r="K7" s="828"/>
      <c r="L7" s="828"/>
      <c r="M7" s="828"/>
      <c r="N7" s="116"/>
      <c r="O7" s="90"/>
      <c r="P7" s="304"/>
      <c r="Q7" s="300"/>
      <c r="R7" s="279" t="s">
        <v>324</v>
      </c>
      <c r="S7" s="647">
        <v>252.52</v>
      </c>
      <c r="T7" s="626" t="s">
        <v>326</v>
      </c>
      <c r="U7" s="303"/>
    </row>
    <row r="8" spans="2:21" s="75" customFormat="1" ht="12.75" customHeight="1">
      <c r="B8" s="74"/>
      <c r="C8" s="103"/>
      <c r="D8" s="966" t="s">
        <v>54</v>
      </c>
      <c r="E8" s="966"/>
      <c r="F8" s="966"/>
      <c r="G8" s="966"/>
      <c r="H8" s="966"/>
      <c r="I8" s="966"/>
      <c r="J8" s="966"/>
      <c r="K8" s="966"/>
      <c r="L8" s="966"/>
      <c r="M8" s="966"/>
      <c r="N8" s="117"/>
      <c r="O8" s="90"/>
      <c r="P8" s="304"/>
      <c r="Q8" s="300"/>
      <c r="R8" s="279" t="s">
        <v>325</v>
      </c>
      <c r="S8" s="229">
        <v>0.0022</v>
      </c>
      <c r="T8" s="652"/>
      <c r="U8" s="303"/>
    </row>
    <row r="9" spans="3:22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647" t="s">
        <v>319</v>
      </c>
      <c r="S9" s="233">
        <f>S5*S6*S7*S8</f>
        <v>0.046332369600000006</v>
      </c>
      <c r="T9" s="652"/>
      <c r="U9" s="303"/>
      <c r="V9" s="192"/>
    </row>
    <row r="10" spans="3:21" ht="12.75">
      <c r="C10" s="82"/>
      <c r="D10" s="888" t="s">
        <v>308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645"/>
      <c r="S10" s="645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646"/>
      <c r="S11" s="243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648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0.03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">
        <v>318</v>
      </c>
      <c r="M14" s="922"/>
      <c r="N14" s="922"/>
      <c r="O14" s="83"/>
      <c r="P14" s="299"/>
    </row>
    <row r="15" spans="3:16" ht="15" customHeight="1" thickBot="1">
      <c r="C15" s="87" t="s">
        <v>5</v>
      </c>
      <c r="D15" s="125">
        <v>0.5</v>
      </c>
      <c r="E15" s="5" t="s">
        <v>7</v>
      </c>
      <c r="F15" s="8"/>
      <c r="G15" s="8"/>
      <c r="H15" s="8"/>
      <c r="I15" s="8"/>
      <c r="J15" s="6" t="s">
        <v>18</v>
      </c>
      <c r="K15" s="215">
        <f>'[6]BASE'!$K$15</f>
        <v>10</v>
      </c>
      <c r="L15" s="5" t="s">
        <v>12</v>
      </c>
      <c r="M15" s="5"/>
      <c r="N15" s="5"/>
      <c r="O15" s="83"/>
      <c r="P15" s="299"/>
    </row>
    <row r="16" spans="3:33" ht="15" customHeight="1">
      <c r="C16" s="87" t="s">
        <v>6</v>
      </c>
      <c r="D16" s="91">
        <f>D14/D15</f>
        <v>0.06</v>
      </c>
      <c r="E16" s="8" t="s">
        <v>7</v>
      </c>
      <c r="F16" s="92">
        <f>POWER($D$16,2/3)</f>
        <v>0.15326188647871064</v>
      </c>
      <c r="G16" s="8"/>
      <c r="H16" s="8"/>
      <c r="I16" s="8"/>
      <c r="J16" s="6" t="s">
        <v>17</v>
      </c>
      <c r="K16" s="215">
        <v>5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  <c r="Y16" s="1009" t="s">
        <v>203</v>
      </c>
      <c r="Z16" s="1010"/>
      <c r="AA16" s="1010"/>
      <c r="AB16" s="1010"/>
      <c r="AC16" s="1010"/>
      <c r="AD16" s="1010"/>
      <c r="AE16" s="1010"/>
      <c r="AF16" s="1010"/>
      <c r="AG16" s="1011"/>
    </row>
    <row r="17" spans="3:33" ht="15" customHeight="1">
      <c r="C17" s="87" t="s">
        <v>9</v>
      </c>
      <c r="D17" s="91">
        <f>'[6]BASE'!$D$17</f>
        <v>0.015</v>
      </c>
      <c r="E17" s="5"/>
      <c r="F17" s="5"/>
      <c r="G17" s="5"/>
      <c r="H17" s="5"/>
      <c r="I17" s="5"/>
      <c r="J17" s="6" t="s">
        <v>19</v>
      </c>
      <c r="K17" s="307">
        <v>252.52</v>
      </c>
      <c r="L17" s="8" t="s">
        <v>14</v>
      </c>
      <c r="M17" s="5"/>
      <c r="N17" s="5"/>
      <c r="O17" s="644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  <c r="Y17" s="1012"/>
      <c r="Z17" s="1013"/>
      <c r="AA17" s="1013"/>
      <c r="AB17" s="1013"/>
      <c r="AC17" s="1013"/>
      <c r="AD17" s="1013"/>
      <c r="AE17" s="1013"/>
      <c r="AF17" s="1013"/>
      <c r="AG17" s="1014"/>
    </row>
    <row r="18" spans="2:33" ht="21.75">
      <c r="B18" s="60"/>
      <c r="C18" s="88" t="s">
        <v>97</v>
      </c>
      <c r="D18" s="426">
        <f aca="true" t="shared" si="0" ref="D18:O18">D19*$D$14</f>
        <v>0.021674503845307825</v>
      </c>
      <c r="E18" s="426">
        <f t="shared" si="0"/>
        <v>0.03065237729574213</v>
      </c>
      <c r="F18" s="426">
        <f t="shared" si="0"/>
        <v>0.03754134188892016</v>
      </c>
      <c r="G18" s="426">
        <f t="shared" si="0"/>
        <v>0.04334900769061565</v>
      </c>
      <c r="H18" s="426">
        <f t="shared" si="0"/>
        <v>0.04846566397668889</v>
      </c>
      <c r="I18" s="426">
        <f t="shared" si="0"/>
        <v>0.05309147484899607</v>
      </c>
      <c r="J18" s="426">
        <f t="shared" si="0"/>
        <v>0.0573453469653977</v>
      </c>
      <c r="K18" s="426">
        <f t="shared" si="0"/>
        <v>0.06130475459148426</v>
      </c>
      <c r="L18" s="426">
        <f t="shared" si="0"/>
        <v>0.06502351153592348</v>
      </c>
      <c r="M18" s="426">
        <f t="shared" si="0"/>
        <v>0.06854079930525057</v>
      </c>
      <c r="N18" s="426">
        <f t="shared" si="0"/>
        <v>0.07508268377784032</v>
      </c>
      <c r="O18" s="650">
        <f t="shared" si="0"/>
        <v>0.08109856741745623</v>
      </c>
      <c r="P18" s="310"/>
      <c r="Q18" s="46" t="s">
        <v>139</v>
      </c>
      <c r="R18" s="311">
        <v>0.9</v>
      </c>
      <c r="S18" s="31"/>
      <c r="T18" s="38" t="s">
        <v>29</v>
      </c>
      <c r="U18" s="311">
        <v>0</v>
      </c>
      <c r="V18" s="5"/>
      <c r="W18" s="45"/>
      <c r="Y18" s="407" t="s">
        <v>201</v>
      </c>
      <c r="Z18" s="406" t="s">
        <v>309</v>
      </c>
      <c r="AA18" s="410" t="s">
        <v>182</v>
      </c>
      <c r="AB18" s="411" t="s">
        <v>310</v>
      </c>
      <c r="AC18" s="412" t="s">
        <v>200</v>
      </c>
      <c r="AD18" s="413" t="s">
        <v>185</v>
      </c>
      <c r="AE18" s="1018" t="s">
        <v>314</v>
      </c>
      <c r="AF18" s="1018"/>
      <c r="AG18" s="635" t="s">
        <v>311</v>
      </c>
    </row>
    <row r="19" spans="2:33" ht="19.5" customHeight="1">
      <c r="B19" s="15"/>
      <c r="C19" s="382" t="s">
        <v>16</v>
      </c>
      <c r="D19" s="649">
        <f aca="true" t="shared" si="1" ref="D19:O19">($F$16/$D$17)*POWER(D22/100,1/2)</f>
        <v>0.7224834615102609</v>
      </c>
      <c r="E19" s="649">
        <f t="shared" si="1"/>
        <v>1.021745909858071</v>
      </c>
      <c r="F19" s="649">
        <f t="shared" si="1"/>
        <v>1.2513780629640052</v>
      </c>
      <c r="G19" s="649">
        <f t="shared" si="1"/>
        <v>1.4449669230205218</v>
      </c>
      <c r="H19" s="649">
        <f t="shared" si="1"/>
        <v>1.6155221325562963</v>
      </c>
      <c r="I19" s="649">
        <f t="shared" si="1"/>
        <v>1.769715828299869</v>
      </c>
      <c r="J19" s="649">
        <f t="shared" si="1"/>
        <v>1.9115115655132566</v>
      </c>
      <c r="K19" s="649">
        <f t="shared" si="1"/>
        <v>2.043491819716142</v>
      </c>
      <c r="L19" s="649">
        <f t="shared" si="1"/>
        <v>2.167450384530783</v>
      </c>
      <c r="M19" s="649">
        <f t="shared" si="1"/>
        <v>2.2846933101750193</v>
      </c>
      <c r="N19" s="649">
        <f t="shared" si="1"/>
        <v>2.5027561259280104</v>
      </c>
      <c r="O19" s="651">
        <f t="shared" si="1"/>
        <v>2.7032855805818743</v>
      </c>
      <c r="P19" s="312">
        <v>0.4</v>
      </c>
      <c r="Q19" s="46" t="s">
        <v>140</v>
      </c>
      <c r="R19" s="311">
        <v>0.65</v>
      </c>
      <c r="S19" s="31"/>
      <c r="T19" s="38" t="s">
        <v>43</v>
      </c>
      <c r="U19" s="313"/>
      <c r="V19" s="314"/>
      <c r="W19" s="315"/>
      <c r="Y19" s="636">
        <v>3.1416</v>
      </c>
      <c r="Z19" s="637">
        <v>0.15</v>
      </c>
      <c r="AA19" s="1015">
        <f>(Y19*POWER(Z19,2))/2</f>
        <v>0.035343</v>
      </c>
      <c r="AB19" s="1016"/>
      <c r="AC19" s="1016"/>
      <c r="AD19" s="1016">
        <f>Y19*Z19</f>
        <v>0.47124</v>
      </c>
      <c r="AE19" s="1016"/>
      <c r="AF19" s="1016"/>
      <c r="AG19" s="1017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0.4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0.5</v>
      </c>
      <c r="E22" s="927">
        <v>1</v>
      </c>
      <c r="F22" s="927">
        <v>1.5</v>
      </c>
      <c r="G22" s="927">
        <v>2</v>
      </c>
      <c r="H22" s="927">
        <v>2.5</v>
      </c>
      <c r="I22" s="927">
        <v>3</v>
      </c>
      <c r="J22" s="927">
        <v>3.5</v>
      </c>
      <c r="K22" s="927">
        <v>4</v>
      </c>
      <c r="L22" s="927">
        <v>4.5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0.3065237729574213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166.8925151664134</v>
      </c>
      <c r="E24" s="65">
        <f aca="true" t="shared" si="3" ref="E24:E33">(($Q$23/R24)/10)*SQRT($E$22)</f>
        <v>236.02165840689926</v>
      </c>
      <c r="F24" s="65">
        <f aca="true" t="shared" si="4" ref="F24:F33">(($Q$23/R24)/10)*SQRT($F$22)</f>
        <v>289.0663156711874</v>
      </c>
      <c r="G24" s="65">
        <f aca="true" t="shared" si="5" ref="G24:G33">(($Q$23/R24)/10)*SQRT($G$22)</f>
        <v>333.7850303328268</v>
      </c>
      <c r="H24" s="65">
        <f aca="true" t="shared" si="6" ref="H24:H33">(($Q$23/R24)/10)*SQRT($H$22)</f>
        <v>373.183008848015</v>
      </c>
      <c r="I24" s="65">
        <f aca="true" t="shared" si="7" ref="I24:I33">(($Q$23/R24)/10)*SQRT($I$22)</f>
        <v>408.80150404741556</v>
      </c>
      <c r="J24" s="65">
        <f aca="true" t="shared" si="8" ref="J24:J33">(($Q$23/R24)/10)*SQRT($J$22)</f>
        <v>441.55609080840526</v>
      </c>
      <c r="K24" s="65">
        <f aca="true" t="shared" si="9" ref="K24:K33">(($Q$23/R24)/10)*SQRT($K$22)</f>
        <v>472.0433168137985</v>
      </c>
      <c r="L24" s="65">
        <f aca="true" t="shared" si="10" ref="L24:L33">(($Q$23/R24)/10)*SQRT($L$22)</f>
        <v>500.6775454992401</v>
      </c>
      <c r="M24" s="65">
        <f aca="true" t="shared" si="11" ref="M24:M33">(($Q$23/R24)/10)*SQRT($M$22)</f>
        <v>527.7604723600615</v>
      </c>
      <c r="N24" s="65">
        <f aca="true" t="shared" si="12" ref="N24:N33">(($Q$23/R24)/10)*SQRT($N$22)</f>
        <v>578.1326313423748</v>
      </c>
      <c r="O24" s="66">
        <f aca="true" t="shared" si="13" ref="O24:O33">(($Q$23/R24)/10)*SQRT($O$22)</f>
        <v>624.4546121696927</v>
      </c>
      <c r="P24" s="299"/>
      <c r="Q24" s="51"/>
      <c r="R24" s="29">
        <f aca="true" t="shared" si="14" ref="R24:R33">((0.278*$K$17*POWER(10,-6)*(($R$18*$U$18)+($R$19*W24)+($R$20*$U$20))))</f>
        <v>0.00012987103600000004</v>
      </c>
      <c r="S24" s="165">
        <f aca="true" t="shared" si="15" ref="S24:S33">($Q$23/R24)/10</f>
        <v>236.02165840689926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123.50046122314593</v>
      </c>
      <c r="E25" s="67">
        <f t="shared" si="3"/>
        <v>174.6560272211055</v>
      </c>
      <c r="F25" s="67">
        <f t="shared" si="4"/>
        <v>213.9090735966787</v>
      </c>
      <c r="G25" s="67">
        <f t="shared" si="5"/>
        <v>247.00092244629187</v>
      </c>
      <c r="H25" s="67">
        <f t="shared" si="6"/>
        <v>276.15542654753114</v>
      </c>
      <c r="I25" s="67">
        <f t="shared" si="7"/>
        <v>302.51311299508757</v>
      </c>
      <c r="J25" s="67">
        <f t="shared" si="8"/>
        <v>326.75150719821994</v>
      </c>
      <c r="K25" s="67">
        <f t="shared" si="9"/>
        <v>349.312054442211</v>
      </c>
      <c r="L25" s="67">
        <f t="shared" si="10"/>
        <v>370.50138366943776</v>
      </c>
      <c r="M25" s="67">
        <f t="shared" si="11"/>
        <v>390.5427495464456</v>
      </c>
      <c r="N25" s="67">
        <f t="shared" si="12"/>
        <v>427.8181471933574</v>
      </c>
      <c r="O25" s="68">
        <f t="shared" si="13"/>
        <v>462.0964130055727</v>
      </c>
      <c r="P25" s="299"/>
      <c r="Q25" s="51"/>
      <c r="R25" s="30">
        <f t="shared" si="14"/>
        <v>0.00017550140000000003</v>
      </c>
      <c r="S25" s="78">
        <f t="shared" si="15"/>
        <v>174.6560272211055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109.29244356030614</v>
      </c>
      <c r="E26" s="67">
        <f t="shared" si="3"/>
        <v>154.56285594788096</v>
      </c>
      <c r="F26" s="67">
        <f t="shared" si="4"/>
        <v>189.30006512980415</v>
      </c>
      <c r="G26" s="67">
        <f t="shared" si="5"/>
        <v>218.58488712061228</v>
      </c>
      <c r="H26" s="67">
        <f t="shared" si="6"/>
        <v>244.38533322790366</v>
      </c>
      <c r="I26" s="67">
        <f t="shared" si="7"/>
        <v>267.71071946467924</v>
      </c>
      <c r="J26" s="67">
        <f t="shared" si="8"/>
        <v>289.1606258391327</v>
      </c>
      <c r="K26" s="67">
        <f t="shared" si="9"/>
        <v>309.1257118957619</v>
      </c>
      <c r="L26" s="67">
        <f t="shared" si="10"/>
        <v>327.87733068091836</v>
      </c>
      <c r="M26" s="67">
        <f t="shared" si="11"/>
        <v>345.61305269596954</v>
      </c>
      <c r="N26" s="67">
        <f t="shared" si="12"/>
        <v>378.6001302596083</v>
      </c>
      <c r="O26" s="68">
        <f t="shared" si="13"/>
        <v>408.9348787659935</v>
      </c>
      <c r="P26" s="299"/>
      <c r="Q26" s="51"/>
      <c r="R26" s="30">
        <f t="shared" si="14"/>
        <v>0.00019831658200000004</v>
      </c>
      <c r="S26" s="78">
        <f t="shared" si="15"/>
        <v>154.56285594788096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98.01623906598883</v>
      </c>
      <c r="E27" s="67">
        <f t="shared" si="3"/>
        <v>138.61589461992497</v>
      </c>
      <c r="F27" s="67">
        <f t="shared" si="4"/>
        <v>169.76910602911005</v>
      </c>
      <c r="G27" s="67">
        <f t="shared" si="5"/>
        <v>196.03247813197765</v>
      </c>
      <c r="H27" s="67">
        <f t="shared" si="6"/>
        <v>219.1709734504215</v>
      </c>
      <c r="I27" s="67">
        <f t="shared" si="7"/>
        <v>240.08977221832342</v>
      </c>
      <c r="J27" s="67">
        <f t="shared" si="8"/>
        <v>259.32659301446023</v>
      </c>
      <c r="K27" s="67">
        <f t="shared" si="9"/>
        <v>277.23178923984995</v>
      </c>
      <c r="L27" s="67">
        <f t="shared" si="10"/>
        <v>294.0487171979664</v>
      </c>
      <c r="M27" s="67">
        <f t="shared" si="11"/>
        <v>309.9545631320996</v>
      </c>
      <c r="N27" s="67">
        <f t="shared" si="12"/>
        <v>339.5382120582201</v>
      </c>
      <c r="O27" s="68">
        <f t="shared" si="13"/>
        <v>366.7431849250576</v>
      </c>
      <c r="P27" s="299"/>
      <c r="Q27" s="51"/>
      <c r="R27" s="30">
        <f t="shared" si="14"/>
        <v>0.00022113176400000007</v>
      </c>
      <c r="S27" s="78">
        <f t="shared" si="15"/>
        <v>138.61589461992497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88.84925267852225</v>
      </c>
      <c r="E28" s="67">
        <f t="shared" si="3"/>
        <v>125.65181814468019</v>
      </c>
      <c r="F28" s="67">
        <f t="shared" si="4"/>
        <v>153.89141985372567</v>
      </c>
      <c r="G28" s="67">
        <f t="shared" si="5"/>
        <v>177.6985053570445</v>
      </c>
      <c r="H28" s="67">
        <f t="shared" si="6"/>
        <v>198.672968739231</v>
      </c>
      <c r="I28" s="67">
        <f t="shared" si="7"/>
        <v>217.63533308999104</v>
      </c>
      <c r="J28" s="67">
        <f t="shared" si="8"/>
        <v>235.0730267613093</v>
      </c>
      <c r="K28" s="67">
        <f t="shared" si="9"/>
        <v>251.30363628936038</v>
      </c>
      <c r="L28" s="67">
        <f t="shared" si="10"/>
        <v>266.5477580355667</v>
      </c>
      <c r="M28" s="67">
        <f t="shared" si="11"/>
        <v>280.9660068679464</v>
      </c>
      <c r="N28" s="67">
        <f t="shared" si="12"/>
        <v>307.78283970745133</v>
      </c>
      <c r="O28" s="68">
        <f t="shared" si="13"/>
        <v>332.44346259393717</v>
      </c>
      <c r="P28" s="299"/>
      <c r="Q28" s="51"/>
      <c r="R28" s="30">
        <f t="shared" si="14"/>
        <v>0.00024394694600000005</v>
      </c>
      <c r="S28" s="78">
        <f t="shared" si="15"/>
        <v>125.65181814468019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81.25030343628023</v>
      </c>
      <c r="E29" s="67">
        <f t="shared" si="3"/>
        <v>114.90528106651678</v>
      </c>
      <c r="F29" s="67">
        <f t="shared" si="4"/>
        <v>140.72965368202546</v>
      </c>
      <c r="G29" s="67">
        <f t="shared" si="5"/>
        <v>162.50060687256047</v>
      </c>
      <c r="H29" s="67">
        <f t="shared" si="6"/>
        <v>181.68120167600733</v>
      </c>
      <c r="I29" s="67">
        <f t="shared" si="7"/>
        <v>199.0217848651892</v>
      </c>
      <c r="J29" s="67">
        <f t="shared" si="8"/>
        <v>214.9680968409342</v>
      </c>
      <c r="K29" s="67">
        <f t="shared" si="9"/>
        <v>229.81056213303356</v>
      </c>
      <c r="L29" s="67">
        <f t="shared" si="10"/>
        <v>243.75091030884064</v>
      </c>
      <c r="M29" s="67">
        <f t="shared" si="11"/>
        <v>256.93601943845107</v>
      </c>
      <c r="N29" s="67">
        <f t="shared" si="12"/>
        <v>281.4593073640509</v>
      </c>
      <c r="O29" s="68">
        <f t="shared" si="13"/>
        <v>304.0107980299821</v>
      </c>
      <c r="P29" s="299"/>
      <c r="Q29" s="51"/>
      <c r="R29" s="30">
        <f t="shared" si="14"/>
        <v>0.00026676212800000006</v>
      </c>
      <c r="S29" s="78">
        <f t="shared" si="15"/>
        <v>114.90528106651678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69.38228158603704</v>
      </c>
      <c r="E30" s="67">
        <f t="shared" si="3"/>
        <v>98.12136360736262</v>
      </c>
      <c r="F30" s="67">
        <f t="shared" si="4"/>
        <v>120.17363685206668</v>
      </c>
      <c r="G30" s="67">
        <f t="shared" si="5"/>
        <v>138.76456317207408</v>
      </c>
      <c r="H30" s="67">
        <f t="shared" si="6"/>
        <v>155.14349806041074</v>
      </c>
      <c r="I30" s="67">
        <f t="shared" si="7"/>
        <v>169.95118707589188</v>
      </c>
      <c r="J30" s="67">
        <f t="shared" si="8"/>
        <v>183.56826247091007</v>
      </c>
      <c r="K30" s="67">
        <f t="shared" si="9"/>
        <v>196.24272721472525</v>
      </c>
      <c r="L30" s="67">
        <f t="shared" si="10"/>
        <v>208.1468447581111</v>
      </c>
      <c r="M30" s="67">
        <f t="shared" si="11"/>
        <v>219.40603907103682</v>
      </c>
      <c r="N30" s="67">
        <f t="shared" si="12"/>
        <v>240.34727370413336</v>
      </c>
      <c r="O30" s="68">
        <f t="shared" si="13"/>
        <v>259.6047264076251</v>
      </c>
      <c r="P30" s="299"/>
      <c r="Q30" s="51"/>
      <c r="R30" s="30">
        <f t="shared" si="14"/>
        <v>0.0003123924920000001</v>
      </c>
      <c r="S30" s="78">
        <f t="shared" si="15"/>
        <v>98.12136360736262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>
        <f t="shared" si="2"/>
        <v>60.53944177605192</v>
      </c>
      <c r="E31" s="67">
        <f t="shared" si="3"/>
        <v>85.61569961818896</v>
      </c>
      <c r="F31" s="67">
        <f t="shared" si="4"/>
        <v>104.85738901797974</v>
      </c>
      <c r="G31" s="67">
        <f t="shared" si="5"/>
        <v>121.07888355210385</v>
      </c>
      <c r="H31" s="67">
        <f t="shared" si="6"/>
        <v>135.3703071311427</v>
      </c>
      <c r="I31" s="67">
        <f t="shared" si="7"/>
        <v>148.2907416642586</v>
      </c>
      <c r="J31" s="67">
        <f t="shared" si="8"/>
        <v>160.1723074501078</v>
      </c>
      <c r="K31" s="67">
        <f t="shared" si="9"/>
        <v>171.2313992363779</v>
      </c>
      <c r="L31" s="67">
        <f t="shared" si="10"/>
        <v>181.61832532815575</v>
      </c>
      <c r="M31" s="67">
        <f t="shared" si="11"/>
        <v>191.4425242874733</v>
      </c>
      <c r="N31" s="67">
        <f t="shared" si="12"/>
        <v>209.71477803595948</v>
      </c>
      <c r="O31" s="68">
        <f t="shared" si="13"/>
        <v>226.5178495125356</v>
      </c>
      <c r="P31" s="299"/>
      <c r="Q31" s="51"/>
      <c r="R31" s="30">
        <f t="shared" si="14"/>
        <v>0.0003580228560000001</v>
      </c>
      <c r="S31" s="78">
        <f t="shared" si="15"/>
        <v>85.61569961818896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53.69585270571562</v>
      </c>
      <c r="E32" s="67">
        <f t="shared" si="3"/>
        <v>75.93740313961108</v>
      </c>
      <c r="F32" s="67">
        <f t="shared" si="4"/>
        <v>93.00394504203422</v>
      </c>
      <c r="G32" s="67">
        <f t="shared" si="5"/>
        <v>107.39170541143125</v>
      </c>
      <c r="H32" s="67">
        <f t="shared" si="6"/>
        <v>120.06757675979614</v>
      </c>
      <c r="I32" s="67">
        <f t="shared" si="7"/>
        <v>131.52744043264676</v>
      </c>
      <c r="J32" s="67">
        <f t="shared" si="8"/>
        <v>142.06587269487824</v>
      </c>
      <c r="K32" s="67">
        <f t="shared" si="9"/>
        <v>151.87480627922216</v>
      </c>
      <c r="L32" s="67">
        <f t="shared" si="10"/>
        <v>161.08755811714684</v>
      </c>
      <c r="M32" s="67">
        <f t="shared" si="11"/>
        <v>169.80119545497632</v>
      </c>
      <c r="N32" s="67">
        <f t="shared" si="12"/>
        <v>186.00789008406844</v>
      </c>
      <c r="O32" s="68">
        <f t="shared" si="13"/>
        <v>200.91148391546636</v>
      </c>
      <c r="P32" s="299"/>
      <c r="Q32" s="51"/>
      <c r="R32" s="30">
        <f t="shared" si="14"/>
        <v>0.00040365322000000006</v>
      </c>
      <c r="S32" s="78">
        <f t="shared" si="15"/>
        <v>75.93740313961108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48.24236766529138</v>
      </c>
      <c r="E33" s="69">
        <f t="shared" si="3"/>
        <v>68.22501063324434</v>
      </c>
      <c r="F33" s="69">
        <f t="shared" si="4"/>
        <v>83.55823187370262</v>
      </c>
      <c r="G33" s="69">
        <f t="shared" si="5"/>
        <v>96.48473533058277</v>
      </c>
      <c r="H33" s="69">
        <f t="shared" si="6"/>
        <v>107.87321349512936</v>
      </c>
      <c r="I33" s="69">
        <f t="shared" si="7"/>
        <v>118.16918476370608</v>
      </c>
      <c r="J33" s="69">
        <f t="shared" si="8"/>
        <v>127.63730749930468</v>
      </c>
      <c r="K33" s="69">
        <f t="shared" si="9"/>
        <v>136.45002126648868</v>
      </c>
      <c r="L33" s="69">
        <f t="shared" si="10"/>
        <v>144.72710299587413</v>
      </c>
      <c r="M33" s="69">
        <f t="shared" si="11"/>
        <v>152.55576154158032</v>
      </c>
      <c r="N33" s="69">
        <f t="shared" si="12"/>
        <v>167.11646374740525</v>
      </c>
      <c r="O33" s="70">
        <f t="shared" si="13"/>
        <v>180.50641133030186</v>
      </c>
      <c r="P33" s="299"/>
      <c r="Q33" s="53"/>
      <c r="R33" s="54">
        <f t="shared" si="14"/>
        <v>0.0004492835840000001</v>
      </c>
      <c r="S33" s="106">
        <f t="shared" si="15"/>
        <v>68.22501063324434</v>
      </c>
      <c r="T33" s="56"/>
      <c r="U33" s="57"/>
      <c r="V33" s="325">
        <f t="shared" si="16"/>
        <v>8</v>
      </c>
      <c r="W33" s="326">
        <f t="shared" si="17"/>
        <v>8</v>
      </c>
    </row>
    <row r="34" spans="3:23" ht="21" customHeight="1">
      <c r="C34" s="599" t="s">
        <v>211</v>
      </c>
      <c r="D34" s="638">
        <f aca="true" t="shared" si="18" ref="D34:O34">(D35*$D$14)</f>
        <v>0.021674503845307825</v>
      </c>
      <c r="E34" s="638">
        <f t="shared" si="18"/>
        <v>0.03065237729574213</v>
      </c>
      <c r="F34" s="638">
        <f t="shared" si="18"/>
        <v>0.03754134188892016</v>
      </c>
      <c r="G34" s="638">
        <f t="shared" si="18"/>
        <v>0.04334900769061565</v>
      </c>
      <c r="H34" s="638">
        <f t="shared" si="18"/>
        <v>0.04846566397668889</v>
      </c>
      <c r="I34" s="638">
        <f t="shared" si="18"/>
        <v>0.05309147484899607</v>
      </c>
      <c r="J34" s="638">
        <f t="shared" si="18"/>
        <v>0.0573453469653977</v>
      </c>
      <c r="K34" s="638">
        <f t="shared" si="18"/>
        <v>0.06130475459148426</v>
      </c>
      <c r="L34" s="638">
        <f t="shared" si="18"/>
        <v>0.06502351153592348</v>
      </c>
      <c r="M34" s="638">
        <f t="shared" si="18"/>
        <v>0.06854079930525057</v>
      </c>
      <c r="N34" s="638">
        <f t="shared" si="18"/>
        <v>0.07508268377784032</v>
      </c>
      <c r="O34" s="639">
        <f t="shared" si="18"/>
        <v>0.08109856741745623</v>
      </c>
      <c r="P34" s="299"/>
      <c r="Q34" s="3"/>
      <c r="R34" s="30"/>
      <c r="S34" s="78"/>
      <c r="T34" s="3"/>
      <c r="U34" s="10"/>
      <c r="V34" s="323"/>
      <c r="W34" s="640"/>
    </row>
    <row r="35" spans="3:23" ht="21" customHeight="1">
      <c r="C35" s="185" t="s">
        <v>212</v>
      </c>
      <c r="D35" s="641">
        <f aca="true" t="shared" si="19" ref="D35:O35">($F$16/$D$17)*POWER(D22/100,1/2)</f>
        <v>0.7224834615102609</v>
      </c>
      <c r="E35" s="641">
        <f t="shared" si="19"/>
        <v>1.021745909858071</v>
      </c>
      <c r="F35" s="641">
        <f t="shared" si="19"/>
        <v>1.2513780629640052</v>
      </c>
      <c r="G35" s="641">
        <f t="shared" si="19"/>
        <v>1.4449669230205218</v>
      </c>
      <c r="H35" s="641">
        <f t="shared" si="19"/>
        <v>1.6155221325562963</v>
      </c>
      <c r="I35" s="641">
        <f t="shared" si="19"/>
        <v>1.769715828299869</v>
      </c>
      <c r="J35" s="641">
        <f t="shared" si="19"/>
        <v>1.9115115655132566</v>
      </c>
      <c r="K35" s="641">
        <f t="shared" si="19"/>
        <v>2.043491819716142</v>
      </c>
      <c r="L35" s="641">
        <f t="shared" si="19"/>
        <v>2.167450384530783</v>
      </c>
      <c r="M35" s="641">
        <f t="shared" si="19"/>
        <v>2.2846933101750193</v>
      </c>
      <c r="N35" s="641">
        <f t="shared" si="19"/>
        <v>2.5027561259280104</v>
      </c>
      <c r="O35" s="642">
        <f t="shared" si="19"/>
        <v>2.7032855805818743</v>
      </c>
      <c r="P35" s="299"/>
      <c r="Q35" s="3"/>
      <c r="R35" s="30"/>
      <c r="S35" s="78"/>
      <c r="T35" s="3"/>
      <c r="U35" s="10"/>
      <c r="V35" s="323"/>
      <c r="W35" s="640"/>
    </row>
    <row r="36" spans="2:16" ht="18" customHeight="1">
      <c r="B36" s="21"/>
      <c r="C36" s="8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3"/>
      <c r="P36" s="299"/>
    </row>
    <row r="37" spans="3:16" ht="18" customHeight="1">
      <c r="C37" s="82"/>
      <c r="D37" s="6" t="s">
        <v>31</v>
      </c>
      <c r="E37" s="920">
        <f>Q41</f>
        <v>436.64006805276375</v>
      </c>
      <c r="F37" s="920"/>
      <c r="G37" s="3" t="s">
        <v>33</v>
      </c>
      <c r="H37" s="183" t="s">
        <v>98</v>
      </c>
      <c r="I37" s="5" t="s">
        <v>312</v>
      </c>
      <c r="J37" s="5"/>
      <c r="K37" s="5"/>
      <c r="L37" s="5"/>
      <c r="M37" s="5"/>
      <c r="N37" s="5"/>
      <c r="O37" s="83"/>
      <c r="P37" s="299"/>
    </row>
    <row r="38" spans="3:21" ht="15" customHeight="1">
      <c r="C38" s="82"/>
      <c r="D38" s="5"/>
      <c r="E38" s="5"/>
      <c r="F38" s="5"/>
      <c r="G38" s="5"/>
      <c r="I38" s="5"/>
      <c r="J38" s="5"/>
      <c r="K38" s="5"/>
      <c r="L38" s="5"/>
      <c r="M38" s="5"/>
      <c r="N38" s="5"/>
      <c r="O38" s="83"/>
      <c r="P38" s="299"/>
      <c r="T38" s="1"/>
      <c r="U38" s="1"/>
    </row>
    <row r="39" spans="3:21" ht="15" customHeight="1">
      <c r="C39" s="82"/>
      <c r="D39" s="6" t="s">
        <v>31</v>
      </c>
      <c r="E39" s="5" t="s">
        <v>25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7">
        <f>Q23</f>
        <v>0.3065237729574213</v>
      </c>
      <c r="T39" s="1"/>
      <c r="U39" s="1"/>
    </row>
    <row r="40" spans="3:21" ht="15" customHeight="1">
      <c r="C40" s="82"/>
      <c r="D40" s="6" t="s">
        <v>32</v>
      </c>
      <c r="E40" s="5" t="s">
        <v>313</v>
      </c>
      <c r="F40" s="5"/>
      <c r="G40" s="5"/>
      <c r="H40" s="5"/>
      <c r="I40" s="152"/>
      <c r="J40" s="152"/>
      <c r="K40" s="152"/>
      <c r="L40" s="643">
        <f>U18</f>
        <v>0</v>
      </c>
      <c r="M40" s="5"/>
      <c r="N40" s="5"/>
      <c r="O40" s="83"/>
      <c r="P40" s="299"/>
      <c r="Q40" s="98">
        <f>((0.278*$K$17*POWER(10,-6)))</f>
        <v>7.020056000000001E-05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102">
        <f>(Q39/Q40)/10</f>
        <v>436.64006805276375</v>
      </c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12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</sheetData>
  <sheetProtection/>
  <mergeCells count="28">
    <mergeCell ref="E37:F37"/>
    <mergeCell ref="M22:M23"/>
    <mergeCell ref="N22:N23"/>
    <mergeCell ref="J14:K14"/>
    <mergeCell ref="H22:H23"/>
    <mergeCell ref="E22:E23"/>
    <mergeCell ref="F22:F23"/>
    <mergeCell ref="G2:O2"/>
    <mergeCell ref="G3:O3"/>
    <mergeCell ref="G5:O5"/>
    <mergeCell ref="D10:M10"/>
    <mergeCell ref="D7:M7"/>
    <mergeCell ref="D8:M8"/>
    <mergeCell ref="G4:O4"/>
    <mergeCell ref="D12:M12"/>
    <mergeCell ref="D20:O21"/>
    <mergeCell ref="J22:J23"/>
    <mergeCell ref="K22:K23"/>
    <mergeCell ref="L22:L23"/>
    <mergeCell ref="G22:G23"/>
    <mergeCell ref="L14:N14"/>
    <mergeCell ref="D22:D23"/>
    <mergeCell ref="Y16:AG17"/>
    <mergeCell ref="AA19:AC19"/>
    <mergeCell ref="AD19:AG19"/>
    <mergeCell ref="AE18:AF18"/>
    <mergeCell ref="O22:O23"/>
    <mergeCell ref="I22:I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3"/>
  <legacyDrawing r:id="rId2"/>
  <oleObjects>
    <oleObject progId="Equation.3" shapeId="1232659" r:id="rId1"/>
  </oleObjects>
</worksheet>
</file>

<file path=xl/worksheets/sheet29.xml><?xml version="1.0" encoding="utf-8"?>
<worksheet xmlns="http://schemas.openxmlformats.org/spreadsheetml/2006/main" xmlns:r="http://schemas.openxmlformats.org/officeDocument/2006/relationships">
  <dimension ref="A23:V50"/>
  <sheetViews>
    <sheetView zoomScalePageLayoutView="0" workbookViewId="0" topLeftCell="A7">
      <selection activeCell="C2" sqref="C2:F5"/>
    </sheetView>
  </sheetViews>
  <sheetFormatPr defaultColWidth="9.140625" defaultRowHeight="12.75"/>
  <cols>
    <col min="1" max="2" width="9.140625" style="2" customWidth="1"/>
    <col min="3" max="3" width="13.140625" style="2" customWidth="1"/>
    <col min="4" max="7" width="9.140625" style="2" customWidth="1"/>
    <col min="8" max="9" width="6.7109375" style="2" customWidth="1"/>
    <col min="10" max="10" width="9.140625" style="2" customWidth="1"/>
    <col min="11" max="11" width="3.7109375" style="2" customWidth="1"/>
    <col min="12" max="12" width="7.140625" style="2" customWidth="1"/>
    <col min="13" max="13" width="11.421875" style="2" customWidth="1"/>
    <col min="14" max="14" width="4.00390625" style="2" customWidth="1"/>
    <col min="15" max="15" width="4.8515625" style="2" customWidth="1"/>
    <col min="16" max="16" width="3.28125" style="2" customWidth="1"/>
    <col min="17" max="18" width="9.140625" style="2" customWidth="1"/>
    <col min="19" max="19" width="20.140625" style="2" customWidth="1"/>
    <col min="20" max="16384" width="9.140625" style="2" customWidth="1"/>
  </cols>
  <sheetData>
    <row r="23" spans="8:16" ht="12.75">
      <c r="H23" s="1051" t="s">
        <v>188</v>
      </c>
      <c r="I23" s="1052"/>
      <c r="J23" s="1052"/>
      <c r="K23" s="1052"/>
      <c r="L23" s="1052"/>
      <c r="M23" s="1052"/>
      <c r="N23" s="1052"/>
      <c r="O23" s="1052"/>
      <c r="P23" s="1053"/>
    </row>
    <row r="24" ht="12.75">
      <c r="D24" s="1" t="s">
        <v>88</v>
      </c>
    </row>
    <row r="25" spans="3:16" ht="14.25" customHeight="1">
      <c r="C25" s="1058" t="s">
        <v>181</v>
      </c>
      <c r="D25" s="1058"/>
      <c r="E25" s="1058"/>
      <c r="H25" s="1059" t="s">
        <v>88</v>
      </c>
      <c r="I25" s="1061" t="s">
        <v>184</v>
      </c>
      <c r="J25" s="1063" t="s">
        <v>182</v>
      </c>
      <c r="K25" s="394">
        <v>2</v>
      </c>
      <c r="L25" s="1038" t="s">
        <v>183</v>
      </c>
      <c r="M25" s="1065" t="s">
        <v>185</v>
      </c>
      <c r="N25" s="1040" t="s">
        <v>186</v>
      </c>
      <c r="O25" s="1042" t="s">
        <v>195</v>
      </c>
      <c r="P25" s="402" t="s">
        <v>187</v>
      </c>
    </row>
    <row r="26" spans="7:16" ht="14.25">
      <c r="G26" s="5"/>
      <c r="H26" s="1060"/>
      <c r="I26" s="1062"/>
      <c r="J26" s="1064"/>
      <c r="K26" s="395">
        <v>3</v>
      </c>
      <c r="L26" s="1039"/>
      <c r="M26" s="1066"/>
      <c r="N26" s="1041"/>
      <c r="O26" s="1043"/>
      <c r="P26" s="403" t="s">
        <v>88</v>
      </c>
    </row>
    <row r="27" spans="7:16" ht="12.75">
      <c r="G27" s="5"/>
      <c r="H27" s="423">
        <v>0.3</v>
      </c>
      <c r="I27" s="424">
        <v>0.15</v>
      </c>
      <c r="J27" s="1054">
        <f>(2/3)*H27*I27</f>
        <v>0.029999999999999995</v>
      </c>
      <c r="K27" s="1055"/>
      <c r="L27" s="1056"/>
      <c r="M27" s="1047">
        <f>(H27+((2.667)*(I27*I27)/H27))</f>
        <v>0.5000249999999999</v>
      </c>
      <c r="N27" s="1048"/>
      <c r="O27" s="1048"/>
      <c r="P27" s="1049"/>
    </row>
    <row r="28" spans="7:16" ht="12.75">
      <c r="G28" s="5"/>
      <c r="H28" s="425"/>
      <c r="I28" s="425"/>
      <c r="J28" s="1057"/>
      <c r="K28" s="1057"/>
      <c r="L28" s="1057"/>
      <c r="M28" s="1050"/>
      <c r="N28" s="1050"/>
      <c r="O28" s="1050"/>
      <c r="P28" s="1050"/>
    </row>
    <row r="29" spans="4:16" ht="12.75">
      <c r="D29" s="392" t="s">
        <v>190</v>
      </c>
      <c r="F29" s="1" t="s">
        <v>184</v>
      </c>
      <c r="G29" s="397" t="s">
        <v>198</v>
      </c>
      <c r="H29" s="204"/>
      <c r="I29" s="204"/>
      <c r="J29" s="959"/>
      <c r="K29" s="959"/>
      <c r="L29" s="959"/>
      <c r="M29" s="1032"/>
      <c r="N29" s="1032"/>
      <c r="O29" s="1032"/>
      <c r="P29" s="1032"/>
    </row>
    <row r="30" spans="7:16" ht="12.75">
      <c r="G30" s="5"/>
      <c r="H30" s="204"/>
      <c r="I30" s="204"/>
      <c r="J30" s="959"/>
      <c r="K30" s="959"/>
      <c r="L30" s="959"/>
      <c r="M30" s="1032"/>
      <c r="N30" s="1032"/>
      <c r="O30" s="1032"/>
      <c r="P30" s="1032"/>
    </row>
    <row r="31" spans="7:16" ht="12.75">
      <c r="G31" s="5"/>
      <c r="H31" s="204"/>
      <c r="I31" s="204"/>
      <c r="J31" s="959"/>
      <c r="K31" s="959"/>
      <c r="L31" s="959"/>
      <c r="M31" s="1032"/>
      <c r="N31" s="1032"/>
      <c r="O31" s="1032"/>
      <c r="P31" s="1032"/>
    </row>
    <row r="32" spans="7:16" ht="12.75">
      <c r="G32" s="5"/>
      <c r="H32" s="204"/>
      <c r="I32" s="204"/>
      <c r="J32" s="959"/>
      <c r="K32" s="959"/>
      <c r="L32" s="959"/>
      <c r="M32" s="1032"/>
      <c r="N32" s="1032"/>
      <c r="O32" s="1032"/>
      <c r="P32" s="1032"/>
    </row>
    <row r="33" spans="7:16" ht="12.75">
      <c r="G33" s="5"/>
      <c r="H33" s="204"/>
      <c r="I33" s="204"/>
      <c r="J33" s="959"/>
      <c r="K33" s="959"/>
      <c r="L33" s="959"/>
      <c r="M33" s="1032"/>
      <c r="N33" s="1032"/>
      <c r="O33" s="1032"/>
      <c r="P33" s="1032"/>
    </row>
    <row r="34" spans="7:16" ht="12.75">
      <c r="G34" s="5"/>
      <c r="H34" s="204"/>
      <c r="I34" s="204"/>
      <c r="J34" s="959"/>
      <c r="K34" s="959"/>
      <c r="L34" s="959"/>
      <c r="M34" s="1032"/>
      <c r="N34" s="1032"/>
      <c r="O34" s="1032"/>
      <c r="P34" s="1032"/>
    </row>
    <row r="35" spans="7:16" ht="12.75">
      <c r="G35" s="5"/>
      <c r="H35" s="204"/>
      <c r="I35" s="204"/>
      <c r="J35" s="959"/>
      <c r="K35" s="959"/>
      <c r="L35" s="959"/>
      <c r="M35" s="1032"/>
      <c r="N35" s="1032"/>
      <c r="O35" s="1032"/>
      <c r="P35" s="1032"/>
    </row>
    <row r="36" spans="7:16" ht="12.75">
      <c r="G36" s="5"/>
      <c r="H36" s="204"/>
      <c r="I36" s="204"/>
      <c r="J36" s="959"/>
      <c r="K36" s="959"/>
      <c r="L36" s="959"/>
      <c r="M36" s="1032"/>
      <c r="N36" s="1032"/>
      <c r="O36" s="1032"/>
      <c r="P36" s="1032"/>
    </row>
    <row r="37" spans="7:16" ht="12.75">
      <c r="G37" s="5"/>
      <c r="H37" s="204"/>
      <c r="I37" s="204"/>
      <c r="J37" s="959"/>
      <c r="K37" s="959"/>
      <c r="L37" s="959"/>
      <c r="M37" s="1032"/>
      <c r="N37" s="1032"/>
      <c r="O37" s="1032"/>
      <c r="P37" s="1032"/>
    </row>
    <row r="38" spans="7:16" ht="12.75">
      <c r="G38" s="5"/>
      <c r="H38" s="204"/>
      <c r="I38" s="204"/>
      <c r="J38" s="959"/>
      <c r="K38" s="959"/>
      <c r="L38" s="959"/>
      <c r="M38" s="1032"/>
      <c r="N38" s="1032"/>
      <c r="O38" s="1032"/>
      <c r="P38" s="1032"/>
    </row>
    <row r="39" spans="7:16" ht="12.75">
      <c r="G39" s="5"/>
      <c r="H39" s="204"/>
      <c r="I39" s="204"/>
      <c r="J39" s="959"/>
      <c r="K39" s="959"/>
      <c r="L39" s="959"/>
      <c r="M39" s="1032"/>
      <c r="N39" s="1032"/>
      <c r="O39" s="1032"/>
      <c r="P39" s="1032"/>
    </row>
    <row r="40" spans="7:16" ht="12.75">
      <c r="G40" s="5"/>
      <c r="H40" s="204"/>
      <c r="I40" s="204"/>
      <c r="J40" s="959"/>
      <c r="K40" s="959"/>
      <c r="L40" s="959"/>
      <c r="M40" s="1032"/>
      <c r="N40" s="1032"/>
      <c r="O40" s="1032"/>
      <c r="P40" s="1032"/>
    </row>
    <row r="41" spans="7:16" ht="15">
      <c r="G41" s="5"/>
      <c r="H41" s="422"/>
      <c r="I41" s="422"/>
      <c r="J41" s="959"/>
      <c r="K41" s="959"/>
      <c r="L41" s="959"/>
      <c r="M41" s="1032"/>
      <c r="N41" s="1032"/>
      <c r="O41" s="1032"/>
      <c r="P41" s="1032"/>
    </row>
    <row r="42" spans="7:21" ht="15">
      <c r="G42" s="5"/>
      <c r="H42" s="396"/>
      <c r="I42" s="396"/>
      <c r="J42" s="1044" t="s">
        <v>191</v>
      </c>
      <c r="K42" s="1044"/>
      <c r="L42" s="1044"/>
      <c r="M42" s="885"/>
      <c r="N42" s="885"/>
      <c r="O42" s="885"/>
      <c r="P42" s="885"/>
      <c r="S42" s="415" t="s">
        <v>205</v>
      </c>
      <c r="T42" s="416"/>
      <c r="U42" s="417"/>
    </row>
    <row r="43" spans="1:22" ht="18.75">
      <c r="A43" s="1037" t="s">
        <v>193</v>
      </c>
      <c r="B43" s="1037"/>
      <c r="C43" s="1037"/>
      <c r="D43" s="1037"/>
      <c r="E43" s="1037"/>
      <c r="H43" s="1045" t="s">
        <v>197</v>
      </c>
      <c r="I43" s="1046"/>
      <c r="J43" s="1028" t="s">
        <v>189</v>
      </c>
      <c r="K43" s="1029"/>
      <c r="L43" s="1029"/>
      <c r="M43" s="1033" t="s">
        <v>204</v>
      </c>
      <c r="N43" s="1033"/>
      <c r="O43" s="1033"/>
      <c r="P43" s="1033"/>
      <c r="Q43" s="393" t="s">
        <v>192</v>
      </c>
      <c r="S43" s="418" t="s">
        <v>206</v>
      </c>
      <c r="T43" s="419" t="s">
        <v>207</v>
      </c>
      <c r="U43" s="420"/>
      <c r="V43" s="168"/>
    </row>
    <row r="44" spans="1:17" ht="15" customHeight="1">
      <c r="A44" s="398" t="s">
        <v>194</v>
      </c>
      <c r="B44" s="399">
        <v>0.9</v>
      </c>
      <c r="C44" s="400" t="s">
        <v>196</v>
      </c>
      <c r="D44" s="401">
        <v>0.3</v>
      </c>
      <c r="H44" s="1025">
        <f>J44/Q44</f>
        <v>0.522797162396001</v>
      </c>
      <c r="I44" s="1026"/>
      <c r="J44" s="1030">
        <f>0.483*(POWER(M44/Q44,0.667))+0.083*Q44</f>
        <v>0.1568391487188003</v>
      </c>
      <c r="K44" s="1031"/>
      <c r="L44" s="1031"/>
      <c r="M44" s="1031">
        <f>J49*SQRT(9.81*I49)</f>
        <v>0.042872967421249256</v>
      </c>
      <c r="N44" s="1031"/>
      <c r="O44" s="1031"/>
      <c r="P44" s="1031"/>
      <c r="Q44" s="267">
        <f>2*I49</f>
        <v>0.3</v>
      </c>
    </row>
    <row r="45" spans="7:18" ht="15" customHeight="1">
      <c r="G45" s="5"/>
      <c r="H45" s="1027"/>
      <c r="I45" s="1027"/>
      <c r="J45" s="1032"/>
      <c r="K45" s="1032"/>
      <c r="L45" s="1032"/>
      <c r="M45" s="1032"/>
      <c r="N45" s="1032"/>
      <c r="O45" s="1032"/>
      <c r="P45" s="1032"/>
      <c r="Q45" s="421"/>
      <c r="R45" s="5"/>
    </row>
    <row r="46" spans="8:16" ht="14.25" customHeight="1">
      <c r="H46" s="1034" t="s">
        <v>203</v>
      </c>
      <c r="I46" s="1035"/>
      <c r="J46" s="1035"/>
      <c r="K46" s="1035"/>
      <c r="L46" s="1035"/>
      <c r="M46" s="1035"/>
      <c r="N46" s="1035"/>
      <c r="O46" s="1035"/>
      <c r="P46" s="1036"/>
    </row>
    <row r="47" spans="8:16" ht="14.25" customHeight="1">
      <c r="H47" s="1012"/>
      <c r="I47" s="1013"/>
      <c r="J47" s="1013"/>
      <c r="K47" s="1013"/>
      <c r="L47" s="1013"/>
      <c r="M47" s="1013"/>
      <c r="N47" s="1013"/>
      <c r="O47" s="1013"/>
      <c r="P47" s="1014"/>
    </row>
    <row r="48" spans="8:16" ht="21.75">
      <c r="H48" s="407" t="s">
        <v>201</v>
      </c>
      <c r="I48" s="406" t="s">
        <v>202</v>
      </c>
      <c r="J48" s="410" t="s">
        <v>182</v>
      </c>
      <c r="K48" s="411" t="s">
        <v>199</v>
      </c>
      <c r="L48" s="412" t="s">
        <v>200</v>
      </c>
      <c r="M48" s="413" t="s">
        <v>185</v>
      </c>
      <c r="N48" s="405"/>
      <c r="O48" s="411" t="s">
        <v>201</v>
      </c>
      <c r="P48" s="414" t="s">
        <v>202</v>
      </c>
    </row>
    <row r="49" spans="8:16" ht="18.75" customHeight="1">
      <c r="H49" s="408">
        <v>3.1416</v>
      </c>
      <c r="I49" s="409">
        <v>0.15</v>
      </c>
      <c r="J49" s="1022">
        <f>($H$49*POWER(I49,2))/2</f>
        <v>0.035343</v>
      </c>
      <c r="K49" s="1023"/>
      <c r="L49" s="1023"/>
      <c r="M49" s="1023">
        <f>$H$49*I49</f>
        <v>0.47124</v>
      </c>
      <c r="N49" s="1023"/>
      <c r="O49" s="1023"/>
      <c r="P49" s="1024"/>
    </row>
    <row r="50" ht="12.75">
      <c r="H50" s="404"/>
    </row>
  </sheetData>
  <sheetProtection/>
  <mergeCells count="54">
    <mergeCell ref="J31:L31"/>
    <mergeCell ref="J32:L32"/>
    <mergeCell ref="M39:P39"/>
    <mergeCell ref="C25:E25"/>
    <mergeCell ref="H25:H26"/>
    <mergeCell ref="I25:I26"/>
    <mergeCell ref="J25:J26"/>
    <mergeCell ref="M25:M26"/>
    <mergeCell ref="J30:L30"/>
    <mergeCell ref="J33:L33"/>
    <mergeCell ref="H23:P23"/>
    <mergeCell ref="J27:L27"/>
    <mergeCell ref="J28:L28"/>
    <mergeCell ref="J29:L29"/>
    <mergeCell ref="M35:P35"/>
    <mergeCell ref="M44:P44"/>
    <mergeCell ref="J38:L38"/>
    <mergeCell ref="M38:P38"/>
    <mergeCell ref="J39:L39"/>
    <mergeCell ref="J40:L40"/>
    <mergeCell ref="J34:L34"/>
    <mergeCell ref="J35:L35"/>
    <mergeCell ref="J36:L36"/>
    <mergeCell ref="J41:L41"/>
    <mergeCell ref="M27:P27"/>
    <mergeCell ref="M28:P28"/>
    <mergeCell ref="M29:P29"/>
    <mergeCell ref="M30:P30"/>
    <mergeCell ref="M31:P31"/>
    <mergeCell ref="M32:P32"/>
    <mergeCell ref="M33:P33"/>
    <mergeCell ref="M34:P34"/>
    <mergeCell ref="J37:L37"/>
    <mergeCell ref="A43:E43"/>
    <mergeCell ref="L25:L26"/>
    <mergeCell ref="N25:N26"/>
    <mergeCell ref="O25:O26"/>
    <mergeCell ref="J42:L42"/>
    <mergeCell ref="H43:I43"/>
    <mergeCell ref="M40:P40"/>
    <mergeCell ref="M41:P41"/>
    <mergeCell ref="M36:P36"/>
    <mergeCell ref="M37:P37"/>
    <mergeCell ref="H46:P47"/>
    <mergeCell ref="M42:P42"/>
    <mergeCell ref="M45:P45"/>
    <mergeCell ref="J49:L49"/>
    <mergeCell ref="M49:P49"/>
    <mergeCell ref="H44:I44"/>
    <mergeCell ref="H45:I45"/>
    <mergeCell ref="J43:L43"/>
    <mergeCell ref="J44:L44"/>
    <mergeCell ref="J45:L45"/>
    <mergeCell ref="M43:P43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4"/>
  <sheetViews>
    <sheetView showGridLines="0" zoomScalePageLayoutView="0" workbookViewId="0" topLeftCell="A1">
      <selection activeCell="J17" sqref="J17"/>
    </sheetView>
  </sheetViews>
  <sheetFormatPr defaultColWidth="9.140625" defaultRowHeight="12.75"/>
  <cols>
    <col min="1" max="1" width="2.421875" style="728" customWidth="1"/>
    <col min="2" max="2" width="11.00390625" style="728" customWidth="1"/>
    <col min="3" max="12" width="7.28125" style="728" customWidth="1"/>
    <col min="13" max="13" width="4.57421875" style="729" customWidth="1"/>
    <col min="14" max="14" width="5.7109375" style="728" customWidth="1"/>
    <col min="15" max="15" width="17.28125" style="728" customWidth="1"/>
    <col min="16" max="16" width="8.140625" style="728" customWidth="1"/>
    <col min="17" max="17" width="3.8515625" style="728" customWidth="1"/>
    <col min="18" max="18" width="7.421875" style="728" customWidth="1"/>
    <col min="19" max="19" width="6.00390625" style="728" customWidth="1"/>
    <col min="20" max="20" width="7.7109375" style="728" customWidth="1"/>
    <col min="21" max="21" width="8.28125" style="728" customWidth="1"/>
    <col min="22" max="22" width="7.00390625" style="728" customWidth="1"/>
    <col min="23" max="23" width="5.140625" style="728" customWidth="1"/>
    <col min="24" max="24" width="4.57421875" style="728" customWidth="1"/>
    <col min="25" max="25" width="2.140625" style="728" customWidth="1"/>
    <col min="26" max="26" width="2.421875" style="728" customWidth="1"/>
    <col min="27" max="27" width="5.8515625" style="728" customWidth="1"/>
    <col min="28" max="28" width="1.8515625" style="728" customWidth="1"/>
    <col min="29" max="29" width="2.00390625" style="728" customWidth="1"/>
    <col min="30" max="30" width="10.57421875" style="728" customWidth="1"/>
    <col min="31" max="31" width="9.8515625" style="728" customWidth="1"/>
    <col min="32" max="16384" width="9.140625" style="728" customWidth="1"/>
  </cols>
  <sheetData>
    <row r="1" ht="5.25" customHeight="1">
      <c r="G1" s="729"/>
    </row>
    <row r="2" spans="2:17" ht="19.5" customHeight="1">
      <c r="B2" s="878"/>
      <c r="C2" s="879"/>
      <c r="D2" s="879"/>
      <c r="E2" s="880"/>
      <c r="F2" s="861" t="str">
        <f>'[10]BASE'!$G$2</f>
        <v>PROJETO   DE  DRENAGEM</v>
      </c>
      <c r="G2" s="862"/>
      <c r="H2" s="862"/>
      <c r="I2" s="862"/>
      <c r="J2" s="862"/>
      <c r="K2" s="862"/>
      <c r="L2" s="863"/>
      <c r="M2" s="190"/>
      <c r="N2" s="190"/>
      <c r="P2" s="292"/>
      <c r="Q2" s="292"/>
    </row>
    <row r="3" spans="2:17" ht="19.5" customHeight="1">
      <c r="B3" s="881"/>
      <c r="C3" s="882"/>
      <c r="D3" s="882"/>
      <c r="E3" s="883"/>
      <c r="F3" s="864" t="s">
        <v>407</v>
      </c>
      <c r="G3" s="865"/>
      <c r="H3" s="865"/>
      <c r="I3" s="865"/>
      <c r="J3" s="865"/>
      <c r="K3" s="865"/>
      <c r="L3" s="866"/>
      <c r="M3" s="190"/>
      <c r="N3" s="190"/>
      <c r="P3" s="292"/>
      <c r="Q3" s="292"/>
    </row>
    <row r="4" spans="2:29" ht="19.5" customHeight="1" thickBot="1">
      <c r="B4" s="881"/>
      <c r="C4" s="882"/>
      <c r="D4" s="882"/>
      <c r="E4" s="883"/>
      <c r="F4" s="864" t="s">
        <v>408</v>
      </c>
      <c r="G4" s="865"/>
      <c r="H4" s="865"/>
      <c r="I4" s="865"/>
      <c r="J4" s="865"/>
      <c r="K4" s="865"/>
      <c r="L4" s="866"/>
      <c r="M4" s="190"/>
      <c r="N4" s="190"/>
      <c r="O4" s="728" t="s">
        <v>61</v>
      </c>
      <c r="T4" s="133" t="s">
        <v>62</v>
      </c>
      <c r="U4" s="730" t="s">
        <v>63</v>
      </c>
      <c r="V4" s="686" t="s">
        <v>64</v>
      </c>
      <c r="W4" s="18" t="s">
        <v>33</v>
      </c>
      <c r="X4" s="731" t="s">
        <v>359</v>
      </c>
      <c r="Y4" s="732" t="s">
        <v>33</v>
      </c>
      <c r="Z4" s="138" t="s">
        <v>66</v>
      </c>
      <c r="AA4" s="733" t="s">
        <v>67</v>
      </c>
      <c r="AB4" s="734" t="s">
        <v>33</v>
      </c>
      <c r="AC4" s="141" t="s">
        <v>66</v>
      </c>
    </row>
    <row r="5" spans="2:26" ht="19.5" customHeight="1">
      <c r="B5" s="884"/>
      <c r="C5" s="885"/>
      <c r="D5" s="885"/>
      <c r="E5" s="886"/>
      <c r="F5" s="867"/>
      <c r="G5" s="868"/>
      <c r="H5" s="868"/>
      <c r="I5" s="868"/>
      <c r="J5" s="868"/>
      <c r="K5" s="868"/>
      <c r="L5" s="869"/>
      <c r="M5" s="190"/>
      <c r="N5" s="190"/>
      <c r="O5" s="735"/>
      <c r="U5" s="736"/>
      <c r="V5" s="737"/>
      <c r="W5" s="738"/>
      <c r="X5" s="895" t="s">
        <v>68</v>
      </c>
      <c r="Y5" s="895"/>
      <c r="Z5" s="896"/>
    </row>
    <row r="6" spans="2:12" ht="12.75">
      <c r="B6" s="739"/>
      <c r="C6" s="740"/>
      <c r="D6" s="740"/>
      <c r="E6" s="740"/>
      <c r="F6" s="740"/>
      <c r="G6" s="740"/>
      <c r="H6" s="740"/>
      <c r="I6" s="740"/>
      <c r="J6" s="740"/>
      <c r="K6" s="740"/>
      <c r="L6" s="741"/>
    </row>
    <row r="7" spans="2:18" s="75" customFormat="1" ht="21" customHeight="1">
      <c r="B7" s="873" t="s">
        <v>405</v>
      </c>
      <c r="C7" s="828"/>
      <c r="D7" s="828"/>
      <c r="E7" s="828"/>
      <c r="F7" s="828"/>
      <c r="G7" s="828"/>
      <c r="H7" s="828"/>
      <c r="I7" s="828"/>
      <c r="J7" s="828"/>
      <c r="K7" s="828"/>
      <c r="L7" s="829"/>
      <c r="M7" s="116"/>
      <c r="N7" s="735" t="s">
        <v>69</v>
      </c>
      <c r="O7" s="728" t="s">
        <v>70</v>
      </c>
      <c r="P7" s="728"/>
      <c r="R7" s="145" t="s">
        <v>71</v>
      </c>
    </row>
    <row r="8" spans="2:18" s="75" customFormat="1" ht="12.75" customHeight="1">
      <c r="B8" s="103"/>
      <c r="C8" s="105"/>
      <c r="D8" s="105"/>
      <c r="E8" s="105"/>
      <c r="F8" s="105"/>
      <c r="G8" s="105"/>
      <c r="H8" s="105"/>
      <c r="I8" s="105"/>
      <c r="J8" s="105"/>
      <c r="K8" s="105"/>
      <c r="L8" s="688"/>
      <c r="M8" s="117"/>
      <c r="N8" s="735" t="s">
        <v>69</v>
      </c>
      <c r="O8" s="728" t="s">
        <v>70</v>
      </c>
      <c r="P8" s="728"/>
      <c r="R8" s="145" t="s">
        <v>72</v>
      </c>
    </row>
    <row r="9" spans="2:31" ht="18.75" customHeight="1">
      <c r="B9" s="739"/>
      <c r="C9" s="729"/>
      <c r="D9" s="729"/>
      <c r="E9" s="729"/>
      <c r="F9" s="729"/>
      <c r="G9" s="729"/>
      <c r="H9" s="729"/>
      <c r="I9" s="729"/>
      <c r="J9" s="729"/>
      <c r="K9" s="729"/>
      <c r="L9" s="742"/>
      <c r="N9" s="735" t="s">
        <v>69</v>
      </c>
      <c r="O9" s="728" t="s">
        <v>70</v>
      </c>
      <c r="Q9" s="743" t="s">
        <v>73</v>
      </c>
      <c r="R9" s="840" t="s">
        <v>349</v>
      </c>
      <c r="S9" s="840"/>
      <c r="T9" s="840"/>
      <c r="U9" s="840"/>
      <c r="V9" s="840"/>
      <c r="W9" s="840"/>
      <c r="X9" s="840"/>
      <c r="Y9" s="744" t="s">
        <v>75</v>
      </c>
      <c r="Z9" s="728" t="s">
        <v>33</v>
      </c>
      <c r="AA9" s="745" t="s">
        <v>360</v>
      </c>
      <c r="AD9" s="746"/>
      <c r="AE9" s="8"/>
    </row>
    <row r="10" spans="2:31" ht="18">
      <c r="B10" s="887" t="s">
        <v>409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9"/>
      <c r="M10" s="747"/>
      <c r="N10" s="735" t="s">
        <v>69</v>
      </c>
      <c r="O10" s="728" t="s">
        <v>70</v>
      </c>
      <c r="Q10" s="743" t="s">
        <v>73</v>
      </c>
      <c r="R10" s="687" t="s">
        <v>361</v>
      </c>
      <c r="S10" s="840" t="s">
        <v>77</v>
      </c>
      <c r="T10" s="840"/>
      <c r="U10" s="840"/>
      <c r="V10" s="840"/>
      <c r="W10" s="840"/>
      <c r="X10" s="840"/>
      <c r="Y10" s="744" t="s">
        <v>75</v>
      </c>
      <c r="Z10" s="728" t="s">
        <v>33</v>
      </c>
      <c r="AA10" s="745" t="s">
        <v>360</v>
      </c>
      <c r="AD10" s="729"/>
      <c r="AE10" s="8"/>
    </row>
    <row r="11" spans="2:31" ht="18">
      <c r="B11" s="870" t="s">
        <v>369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2"/>
      <c r="M11" s="747"/>
      <c r="O11" s="748" t="s">
        <v>60</v>
      </c>
      <c r="P11" s="749" t="s">
        <v>78</v>
      </c>
      <c r="AA11" s="750" t="s">
        <v>360</v>
      </c>
      <c r="AB11" s="155"/>
      <c r="AC11" s="155"/>
      <c r="AD11" s="155" t="s">
        <v>79</v>
      </c>
      <c r="AE11" s="697"/>
    </row>
    <row r="12" spans="2:21" ht="17.25">
      <c r="B12" s="751"/>
      <c r="C12" s="902" t="s">
        <v>24</v>
      </c>
      <c r="D12" s="902"/>
      <c r="E12" s="902"/>
      <c r="F12" s="902"/>
      <c r="G12" s="902"/>
      <c r="H12" s="902"/>
      <c r="I12" s="902"/>
      <c r="J12" s="902"/>
      <c r="K12" s="902"/>
      <c r="L12" s="903"/>
      <c r="M12" s="752"/>
      <c r="S12" s="156" t="s">
        <v>80</v>
      </c>
      <c r="T12" s="690" t="s">
        <v>81</v>
      </c>
      <c r="U12" s="691"/>
    </row>
    <row r="13" spans="2:31" ht="15" customHeight="1">
      <c r="B13" s="753"/>
      <c r="C13" s="12"/>
      <c r="D13" s="12"/>
      <c r="E13" s="12"/>
      <c r="F13" s="12"/>
      <c r="G13" s="12"/>
      <c r="H13" s="12"/>
      <c r="I13" s="747"/>
      <c r="J13" s="747"/>
      <c r="K13" s="747"/>
      <c r="L13" s="754"/>
      <c r="M13" s="747"/>
      <c r="R13" s="841" t="s">
        <v>31</v>
      </c>
      <c r="S13" s="164" t="s">
        <v>362</v>
      </c>
      <c r="T13" s="157" t="s">
        <v>33</v>
      </c>
      <c r="U13" s="843" t="s">
        <v>83</v>
      </c>
      <c r="V13" s="844"/>
      <c r="W13" s="147"/>
      <c r="X13" s="897" t="s">
        <v>363</v>
      </c>
      <c r="Y13" s="897"/>
      <c r="Z13" s="897"/>
      <c r="AA13" s="755">
        <v>0.7562</v>
      </c>
      <c r="AD13" s="756"/>
      <c r="AE13" s="757"/>
    </row>
    <row r="14" spans="2:30" ht="15" customHeight="1">
      <c r="B14" s="753" t="s">
        <v>4</v>
      </c>
      <c r="C14" s="125">
        <v>0.32</v>
      </c>
      <c r="D14" s="747" t="s">
        <v>8</v>
      </c>
      <c r="E14" s="12"/>
      <c r="F14" s="12"/>
      <c r="G14" s="12"/>
      <c r="H14" s="12"/>
      <c r="I14" s="241" t="str">
        <f>'[11]BASE '!$J$14</f>
        <v>POSTO:</v>
      </c>
      <c r="J14" s="876" t="s">
        <v>411</v>
      </c>
      <c r="K14" s="876"/>
      <c r="L14" s="877"/>
      <c r="M14" s="626"/>
      <c r="P14" s="758"/>
      <c r="R14" s="842"/>
      <c r="S14" s="846" t="s">
        <v>85</v>
      </c>
      <c r="T14" s="846"/>
      <c r="U14" s="846"/>
      <c r="V14" s="160"/>
      <c r="W14" s="147"/>
      <c r="X14" s="898" t="s">
        <v>364</v>
      </c>
      <c r="Y14" s="898"/>
      <c r="Z14" s="898"/>
      <c r="AA14" s="759">
        <v>39.401</v>
      </c>
      <c r="AD14" s="166">
        <f>0.278*J17*POWER(10,-5)</f>
        <v>0.00047696460000000006</v>
      </c>
    </row>
    <row r="15" spans="2:30" ht="15" customHeight="1">
      <c r="B15" s="753" t="s">
        <v>5</v>
      </c>
      <c r="C15" s="125">
        <v>1.531</v>
      </c>
      <c r="D15" s="747" t="s">
        <v>7</v>
      </c>
      <c r="E15" s="702"/>
      <c r="F15" s="702"/>
      <c r="G15" s="702"/>
      <c r="H15" s="702"/>
      <c r="I15" s="760" t="s">
        <v>18</v>
      </c>
      <c r="J15" s="34">
        <f>'[11]BASE '!K15</f>
        <v>10</v>
      </c>
      <c r="K15" s="702" t="s">
        <v>12</v>
      </c>
      <c r="L15" s="761"/>
      <c r="M15" s="747"/>
      <c r="N15" s="762"/>
      <c r="O15" s="763"/>
      <c r="AD15" s="163">
        <f>$AA$13/$AD$14</f>
        <v>1585.4426093676552</v>
      </c>
    </row>
    <row r="16" spans="2:16" ht="15" customHeight="1">
      <c r="B16" s="753" t="s">
        <v>6</v>
      </c>
      <c r="C16" s="125">
        <f>C14/C15</f>
        <v>0.20901371652514697</v>
      </c>
      <c r="D16" s="702" t="s">
        <v>7</v>
      </c>
      <c r="E16" s="705">
        <f>POWER($C$16,2/3)</f>
        <v>0.35219500455181557</v>
      </c>
      <c r="F16" s="702"/>
      <c r="G16" s="702"/>
      <c r="H16" s="702"/>
      <c r="I16" s="760" t="s">
        <v>17</v>
      </c>
      <c r="J16" s="34">
        <f>'[11]BASE '!K16</f>
        <v>10</v>
      </c>
      <c r="K16" s="702" t="s">
        <v>13</v>
      </c>
      <c r="L16" s="761"/>
      <c r="M16" s="747"/>
      <c r="N16" s="729"/>
      <c r="O16" s="652" t="s">
        <v>335</v>
      </c>
      <c r="P16" s="125">
        <v>0.015</v>
      </c>
    </row>
    <row r="17" spans="2:16" ht="15" customHeight="1">
      <c r="B17" s="753" t="s">
        <v>9</v>
      </c>
      <c r="C17" s="125">
        <v>0.015</v>
      </c>
      <c r="D17" s="747"/>
      <c r="E17" s="747"/>
      <c r="F17" s="747"/>
      <c r="G17" s="747"/>
      <c r="H17" s="747"/>
      <c r="I17" s="760" t="s">
        <v>19</v>
      </c>
      <c r="J17" s="765">
        <v>171.57</v>
      </c>
      <c r="K17" s="702" t="s">
        <v>14</v>
      </c>
      <c r="L17" s="761"/>
      <c r="M17" s="747"/>
      <c r="N17" s="729"/>
      <c r="O17" s="652" t="s">
        <v>336</v>
      </c>
      <c r="P17" s="125">
        <v>0.03</v>
      </c>
    </row>
    <row r="18" spans="2:21" ht="15" customHeight="1">
      <c r="B18" s="88" t="s">
        <v>97</v>
      </c>
      <c r="C18" s="169">
        <f aca="true" t="shared" si="0" ref="C18:L18">C19*$C$14</f>
        <v>0.2375975242489828</v>
      </c>
      <c r="D18" s="169">
        <f t="shared" si="0"/>
        <v>0.33601364117918187</v>
      </c>
      <c r="E18" s="169">
        <f t="shared" si="0"/>
        <v>0.4115309837518166</v>
      </c>
      <c r="F18" s="169">
        <f t="shared" si="0"/>
        <v>0.4751950484979656</v>
      </c>
      <c r="G18" s="169">
        <f t="shared" si="0"/>
        <v>0.5312842155063803</v>
      </c>
      <c r="H18" s="169">
        <f t="shared" si="0"/>
        <v>0.5819926985585608</v>
      </c>
      <c r="I18" s="169">
        <f t="shared" si="0"/>
        <v>0.6286239612874472</v>
      </c>
      <c r="J18" s="169">
        <f t="shared" si="0"/>
        <v>0.6720272823583637</v>
      </c>
      <c r="K18" s="169">
        <f t="shared" si="0"/>
        <v>0.7127925727469486</v>
      </c>
      <c r="L18" s="381">
        <f t="shared" si="0"/>
        <v>0.7513493430438734</v>
      </c>
      <c r="M18" s="169"/>
      <c r="N18" s="13"/>
      <c r="O18" s="652" t="s">
        <v>337</v>
      </c>
      <c r="P18" s="125">
        <v>0.025</v>
      </c>
      <c r="Q18" s="7" t="s">
        <v>16</v>
      </c>
      <c r="R18" s="7"/>
      <c r="S18" s="729"/>
      <c r="T18" s="729"/>
      <c r="U18" s="729"/>
    </row>
    <row r="19" spans="2:21" ht="15" customHeight="1">
      <c r="B19" s="382" t="s">
        <v>16</v>
      </c>
      <c r="C19" s="169">
        <f aca="true" t="shared" si="1" ref="C19:L19">($E$16/$C$17)*POWER(C22/100,1/2)</f>
        <v>0.7424922632780713</v>
      </c>
      <c r="D19" s="169">
        <f t="shared" si="1"/>
        <v>1.0500426286849434</v>
      </c>
      <c r="E19" s="169">
        <f t="shared" si="1"/>
        <v>1.286034324224427</v>
      </c>
      <c r="F19" s="169">
        <f t="shared" si="1"/>
        <v>1.4849845265561425</v>
      </c>
      <c r="G19" s="169">
        <f t="shared" si="1"/>
        <v>1.6602631734574385</v>
      </c>
      <c r="H19" s="169">
        <f t="shared" si="1"/>
        <v>1.8187271829955027</v>
      </c>
      <c r="I19" s="169">
        <f t="shared" si="1"/>
        <v>1.9644498790232725</v>
      </c>
      <c r="J19" s="169">
        <f t="shared" si="1"/>
        <v>2.1000852573698867</v>
      </c>
      <c r="K19" s="169">
        <f t="shared" si="1"/>
        <v>2.2274767898342143</v>
      </c>
      <c r="L19" s="381">
        <f t="shared" si="1"/>
        <v>2.347966697012104</v>
      </c>
      <c r="M19" s="764"/>
      <c r="N19" s="10"/>
      <c r="O19" s="10"/>
      <c r="P19" s="765"/>
      <c r="Q19" s="765"/>
      <c r="R19" s="169"/>
      <c r="S19" s="603"/>
      <c r="T19" s="729"/>
      <c r="U19" s="729"/>
    </row>
    <row r="20" spans="2:21" ht="12.75">
      <c r="B20" s="709" t="s">
        <v>143</v>
      </c>
      <c r="C20" s="849" t="s">
        <v>20</v>
      </c>
      <c r="D20" s="850"/>
      <c r="E20" s="850"/>
      <c r="F20" s="850"/>
      <c r="G20" s="850"/>
      <c r="H20" s="850"/>
      <c r="I20" s="850"/>
      <c r="J20" s="850"/>
      <c r="K20" s="850"/>
      <c r="L20" s="851"/>
      <c r="M20" s="710"/>
      <c r="N20" s="8"/>
      <c r="O20" s="17" t="s">
        <v>10</v>
      </c>
      <c r="P20" s="766">
        <v>0.5</v>
      </c>
      <c r="Q20" s="31"/>
      <c r="R20" s="652"/>
      <c r="S20" s="767"/>
      <c r="T20" s="729"/>
      <c r="U20" s="729"/>
    </row>
    <row r="21" spans="2:21" ht="12.75">
      <c r="B21" s="712" t="s">
        <v>341</v>
      </c>
      <c r="C21" s="852"/>
      <c r="D21" s="853"/>
      <c r="E21" s="853"/>
      <c r="F21" s="853"/>
      <c r="G21" s="853"/>
      <c r="H21" s="853"/>
      <c r="I21" s="853"/>
      <c r="J21" s="853"/>
      <c r="K21" s="853"/>
      <c r="L21" s="854"/>
      <c r="M21" s="710"/>
      <c r="O21" s="17"/>
      <c r="P21" s="302"/>
      <c r="Q21" s="31"/>
      <c r="R21" s="652"/>
      <c r="S21" s="302"/>
      <c r="T21" s="729"/>
      <c r="U21" s="729"/>
    </row>
    <row r="22" spans="2:21" ht="12.75">
      <c r="B22" s="27" t="s">
        <v>343</v>
      </c>
      <c r="C22" s="904">
        <v>0.1</v>
      </c>
      <c r="D22" s="900">
        <v>0.2</v>
      </c>
      <c r="E22" s="900">
        <v>0.3</v>
      </c>
      <c r="F22" s="900">
        <v>0.4</v>
      </c>
      <c r="G22" s="900">
        <v>0.5</v>
      </c>
      <c r="H22" s="900">
        <v>0.6</v>
      </c>
      <c r="I22" s="900">
        <v>0.7</v>
      </c>
      <c r="J22" s="900">
        <v>0.8</v>
      </c>
      <c r="K22" s="900">
        <v>0.9</v>
      </c>
      <c r="L22" s="906">
        <v>1</v>
      </c>
      <c r="M22" s="899"/>
      <c r="O22" s="7" t="s">
        <v>22</v>
      </c>
      <c r="P22" s="7" t="s">
        <v>21</v>
      </c>
      <c r="Q22" s="7" t="s">
        <v>23</v>
      </c>
      <c r="R22" s="34"/>
      <c r="S22" s="34"/>
      <c r="T22" s="7" t="s">
        <v>3</v>
      </c>
      <c r="U22" s="7"/>
    </row>
    <row r="23" spans="2:21" ht="12.75">
      <c r="B23" s="25" t="s">
        <v>1</v>
      </c>
      <c r="C23" s="905"/>
      <c r="D23" s="901"/>
      <c r="E23" s="901"/>
      <c r="F23" s="901"/>
      <c r="G23" s="901"/>
      <c r="H23" s="901"/>
      <c r="I23" s="901"/>
      <c r="J23" s="901"/>
      <c r="K23" s="901"/>
      <c r="L23" s="907"/>
      <c r="M23" s="899"/>
      <c r="O23" s="768">
        <f>($C$14*$E$16)/$C$17</f>
        <v>7.513493430438733</v>
      </c>
      <c r="P23" s="769"/>
      <c r="Q23" s="770"/>
      <c r="R23" s="34"/>
      <c r="S23" s="692"/>
      <c r="T23" s="7" t="s">
        <v>36</v>
      </c>
      <c r="U23" s="603"/>
    </row>
    <row r="24" spans="2:21" ht="18" customHeight="1">
      <c r="B24" s="718">
        <v>10</v>
      </c>
      <c r="C24" s="71">
        <f aca="true" t="shared" si="2" ref="C24:C33">(($O$23/P24)/10)*SQRT($C$22)</f>
        <v>996.2899730880777</v>
      </c>
      <c r="D24" s="65">
        <f aca="true" t="shared" si="3" ref="D24:D33">(($O$23/P24)/10)*SQRT($D$22)</f>
        <v>1408.9667919974852</v>
      </c>
      <c r="E24" s="65">
        <f aca="true" t="shared" si="4" ref="E24:E33">(($O$23/P24)/10)*SQRT($E$22)</f>
        <v>1725.6248524599798</v>
      </c>
      <c r="F24" s="65">
        <f aca="true" t="shared" si="5" ref="F24:F33">(($O$23/P24)/10)*SQRT($F$22)</f>
        <v>1992.5799461761553</v>
      </c>
      <c r="G24" s="65">
        <f aca="true" t="shared" si="6" ref="G24:G33">(($O$23/P24)/10)*SQRT($G$22)</f>
        <v>2227.772105126378</v>
      </c>
      <c r="H24" s="65">
        <f aca="true" t="shared" si="7" ref="H24:H33">(($O$23/P24)/10)*SQRT($H$22)</f>
        <v>2440.402069916975</v>
      </c>
      <c r="I24" s="65">
        <f aca="true" t="shared" si="8" ref="I24:I33">(($O$23/P24)/10)*SQRT($I$22)</f>
        <v>2635.9355024982874</v>
      </c>
      <c r="J24" s="65">
        <f aca="true" t="shared" si="9" ref="J24:J33">(($O$23/P24)/10)*SQRT($J$22)</f>
        <v>2817.9335839949704</v>
      </c>
      <c r="K24" s="65">
        <f aca="true" t="shared" si="10" ref="K24:K33">(($O$23/P24)/10)*SQRT($K$22)</f>
        <v>2988.869919264233</v>
      </c>
      <c r="L24" s="66">
        <f aca="true" t="shared" si="11" ref="L24:L33">(($O$23/P24)/10)*SQRT($L$22)</f>
        <v>3150.545524946184</v>
      </c>
      <c r="M24" s="654"/>
      <c r="O24" s="603"/>
      <c r="P24" s="769">
        <f aca="true" t="shared" si="12" ref="P24:P33">((0.278*$J$17*POWER(10,-6)*(($P$20*T24))))</f>
        <v>0.00023848229999999998</v>
      </c>
      <c r="Q24" s="770">
        <f aca="true" t="shared" si="13" ref="Q24:Q32">($O$23/P24)/10</f>
        <v>3150.545524946184</v>
      </c>
      <c r="R24" s="603"/>
      <c r="S24" s="10"/>
      <c r="T24" s="771">
        <f aca="true" t="shared" si="14" ref="T24:T34">B24</f>
        <v>10</v>
      </c>
      <c r="U24" s="591"/>
    </row>
    <row r="25" spans="2:21" ht="18" customHeight="1">
      <c r="B25" s="720">
        <v>20</v>
      </c>
      <c r="C25" s="72">
        <f t="shared" si="2"/>
        <v>498.14498654403883</v>
      </c>
      <c r="D25" s="67">
        <f t="shared" si="3"/>
        <v>704.4833959987426</v>
      </c>
      <c r="E25" s="67">
        <f t="shared" si="4"/>
        <v>862.8124262299899</v>
      </c>
      <c r="F25" s="67">
        <f t="shared" si="5"/>
        <v>996.2899730880777</v>
      </c>
      <c r="G25" s="67">
        <f t="shared" si="6"/>
        <v>1113.886052563189</v>
      </c>
      <c r="H25" s="67">
        <f t="shared" si="7"/>
        <v>1220.2010349584875</v>
      </c>
      <c r="I25" s="67">
        <f t="shared" si="8"/>
        <v>1317.9677512491437</v>
      </c>
      <c r="J25" s="67">
        <f t="shared" si="9"/>
        <v>1408.9667919974852</v>
      </c>
      <c r="K25" s="67">
        <f t="shared" si="10"/>
        <v>1494.4349596321165</v>
      </c>
      <c r="L25" s="68">
        <f t="shared" si="11"/>
        <v>1575.272762473092</v>
      </c>
      <c r="M25" s="654"/>
      <c r="O25" s="603"/>
      <c r="P25" s="769">
        <f t="shared" si="12"/>
        <v>0.00047696459999999996</v>
      </c>
      <c r="Q25" s="770">
        <f t="shared" si="13"/>
        <v>1575.272762473092</v>
      </c>
      <c r="R25" s="603"/>
      <c r="S25" s="10"/>
      <c r="T25" s="771">
        <f t="shared" si="14"/>
        <v>20</v>
      </c>
      <c r="U25" s="591"/>
    </row>
    <row r="26" spans="2:21" ht="18" customHeight="1">
      <c r="B26" s="720">
        <v>30</v>
      </c>
      <c r="C26" s="72">
        <f t="shared" si="2"/>
        <v>332.09665769602594</v>
      </c>
      <c r="D26" s="67">
        <f t="shared" si="3"/>
        <v>469.6555973324952</v>
      </c>
      <c r="E26" s="67">
        <f t="shared" si="4"/>
        <v>575.2082841533266</v>
      </c>
      <c r="F26" s="67">
        <f t="shared" si="5"/>
        <v>664.1933153920519</v>
      </c>
      <c r="G26" s="67">
        <f t="shared" si="6"/>
        <v>742.5907017087927</v>
      </c>
      <c r="H26" s="67">
        <f t="shared" si="7"/>
        <v>813.4673566389918</v>
      </c>
      <c r="I26" s="67">
        <f t="shared" si="8"/>
        <v>878.6451674994291</v>
      </c>
      <c r="J26" s="67">
        <f t="shared" si="9"/>
        <v>939.3111946649904</v>
      </c>
      <c r="K26" s="67">
        <f t="shared" si="10"/>
        <v>996.2899730880778</v>
      </c>
      <c r="L26" s="68">
        <f t="shared" si="11"/>
        <v>1050.181841648728</v>
      </c>
      <c r="M26" s="654"/>
      <c r="O26" s="603"/>
      <c r="P26" s="769">
        <f t="shared" si="12"/>
        <v>0.0007154469</v>
      </c>
      <c r="Q26" s="770">
        <f t="shared" si="13"/>
        <v>1050.181841648728</v>
      </c>
      <c r="R26" s="603"/>
      <c r="S26" s="10"/>
      <c r="T26" s="771">
        <f t="shared" si="14"/>
        <v>30</v>
      </c>
      <c r="U26" s="591"/>
    </row>
    <row r="27" spans="2:21" ht="18" customHeight="1">
      <c r="B27" s="720">
        <v>40</v>
      </c>
      <c r="C27" s="72">
        <f t="shared" si="2"/>
        <v>249.07249327201941</v>
      </c>
      <c r="D27" s="67">
        <f t="shared" si="3"/>
        <v>352.2416979993713</v>
      </c>
      <c r="E27" s="67">
        <f t="shared" si="4"/>
        <v>431.40621311499496</v>
      </c>
      <c r="F27" s="67">
        <f t="shared" si="5"/>
        <v>498.14498654403883</v>
      </c>
      <c r="G27" s="67">
        <f t="shared" si="6"/>
        <v>556.9430262815945</v>
      </c>
      <c r="H27" s="67">
        <f t="shared" si="7"/>
        <v>610.1005174792438</v>
      </c>
      <c r="I27" s="67">
        <f t="shared" si="8"/>
        <v>658.9838756245719</v>
      </c>
      <c r="J27" s="67">
        <f t="shared" si="9"/>
        <v>704.4833959987426</v>
      </c>
      <c r="K27" s="67">
        <f t="shared" si="10"/>
        <v>747.2174798160582</v>
      </c>
      <c r="L27" s="68">
        <f t="shared" si="11"/>
        <v>787.636381236546</v>
      </c>
      <c r="M27" s="654"/>
      <c r="O27" s="603"/>
      <c r="P27" s="769">
        <f t="shared" si="12"/>
        <v>0.0009539291999999999</v>
      </c>
      <c r="Q27" s="770">
        <f t="shared" si="13"/>
        <v>787.636381236546</v>
      </c>
      <c r="R27" s="603"/>
      <c r="S27" s="10"/>
      <c r="T27" s="771">
        <f t="shared" si="14"/>
        <v>40</v>
      </c>
      <c r="U27" s="591"/>
    </row>
    <row r="28" spans="2:21" ht="18" customHeight="1">
      <c r="B28" s="720">
        <v>50</v>
      </c>
      <c r="C28" s="72">
        <f t="shared" si="2"/>
        <v>199.25799461761554</v>
      </c>
      <c r="D28" s="67">
        <f t="shared" si="3"/>
        <v>281.7933583994971</v>
      </c>
      <c r="E28" s="67">
        <f t="shared" si="4"/>
        <v>345.124970491996</v>
      </c>
      <c r="F28" s="67">
        <f t="shared" si="5"/>
        <v>398.5159892352311</v>
      </c>
      <c r="G28" s="67">
        <f t="shared" si="6"/>
        <v>445.5544210252756</v>
      </c>
      <c r="H28" s="67">
        <f t="shared" si="7"/>
        <v>488.08041398339503</v>
      </c>
      <c r="I28" s="67">
        <f t="shared" si="8"/>
        <v>527.1871004996575</v>
      </c>
      <c r="J28" s="67">
        <f t="shared" si="9"/>
        <v>563.5867167989942</v>
      </c>
      <c r="K28" s="67">
        <f t="shared" si="10"/>
        <v>597.7739838528466</v>
      </c>
      <c r="L28" s="68">
        <f t="shared" si="11"/>
        <v>630.1091049892368</v>
      </c>
      <c r="M28" s="654"/>
      <c r="O28" s="603"/>
      <c r="P28" s="769">
        <f t="shared" si="12"/>
        <v>0.0011924115</v>
      </c>
      <c r="Q28" s="770">
        <f t="shared" si="13"/>
        <v>630.1091049892368</v>
      </c>
      <c r="R28" s="603"/>
      <c r="S28" s="10"/>
      <c r="T28" s="771">
        <f t="shared" si="14"/>
        <v>50</v>
      </c>
      <c r="U28" s="591"/>
    </row>
    <row r="29" spans="2:21" ht="18" customHeight="1">
      <c r="B29" s="720">
        <v>60</v>
      </c>
      <c r="C29" s="72">
        <f t="shared" si="2"/>
        <v>166.04832884801297</v>
      </c>
      <c r="D29" s="67">
        <f t="shared" si="3"/>
        <v>234.8277986662476</v>
      </c>
      <c r="E29" s="67">
        <f t="shared" si="4"/>
        <v>287.6041420766633</v>
      </c>
      <c r="F29" s="67">
        <f t="shared" si="5"/>
        <v>332.09665769602594</v>
      </c>
      <c r="G29" s="67">
        <f t="shared" si="6"/>
        <v>371.29535085439636</v>
      </c>
      <c r="H29" s="67">
        <f t="shared" si="7"/>
        <v>406.7336783194959</v>
      </c>
      <c r="I29" s="67">
        <f t="shared" si="8"/>
        <v>439.32258374971457</v>
      </c>
      <c r="J29" s="67">
        <f t="shared" si="9"/>
        <v>469.6555973324952</v>
      </c>
      <c r="K29" s="67">
        <f t="shared" si="10"/>
        <v>498.1449865440389</v>
      </c>
      <c r="L29" s="68">
        <f t="shared" si="11"/>
        <v>525.090920824364</v>
      </c>
      <c r="M29" s="654"/>
      <c r="O29" s="603"/>
      <c r="P29" s="769">
        <f t="shared" si="12"/>
        <v>0.0014308938</v>
      </c>
      <c r="Q29" s="770">
        <f t="shared" si="13"/>
        <v>525.090920824364</v>
      </c>
      <c r="R29" s="603"/>
      <c r="S29" s="10"/>
      <c r="T29" s="771">
        <f t="shared" si="14"/>
        <v>60</v>
      </c>
      <c r="U29" s="591"/>
    </row>
    <row r="30" spans="2:21" ht="18" customHeight="1">
      <c r="B30" s="720">
        <v>70</v>
      </c>
      <c r="C30" s="72">
        <f t="shared" si="2"/>
        <v>142.32713901258253</v>
      </c>
      <c r="D30" s="67">
        <f t="shared" si="3"/>
        <v>201.28097028535504</v>
      </c>
      <c r="E30" s="67">
        <f t="shared" si="4"/>
        <v>246.5178360657114</v>
      </c>
      <c r="F30" s="67">
        <f t="shared" si="5"/>
        <v>284.65427802516507</v>
      </c>
      <c r="G30" s="67">
        <f t="shared" si="6"/>
        <v>318.25315787519685</v>
      </c>
      <c r="H30" s="67">
        <f t="shared" si="7"/>
        <v>348.6288671309964</v>
      </c>
      <c r="I30" s="67">
        <f t="shared" si="8"/>
        <v>376.56221464261245</v>
      </c>
      <c r="J30" s="67">
        <f t="shared" si="9"/>
        <v>402.5619405707101</v>
      </c>
      <c r="K30" s="67">
        <f t="shared" si="10"/>
        <v>426.9814170377476</v>
      </c>
      <c r="L30" s="68">
        <f t="shared" si="11"/>
        <v>450.07793213516914</v>
      </c>
      <c r="M30" s="654"/>
      <c r="O30" s="603"/>
      <c r="P30" s="769">
        <f t="shared" si="12"/>
        <v>0.0016693760999999998</v>
      </c>
      <c r="Q30" s="770">
        <f t="shared" si="13"/>
        <v>450.07793213516914</v>
      </c>
      <c r="R30" s="603"/>
      <c r="S30" s="10"/>
      <c r="T30" s="771">
        <f t="shared" si="14"/>
        <v>70</v>
      </c>
      <c r="U30" s="591"/>
    </row>
    <row r="31" spans="2:21" ht="18" customHeight="1">
      <c r="B31" s="720">
        <v>80</v>
      </c>
      <c r="C31" s="72">
        <f t="shared" si="2"/>
        <v>124.53624663600971</v>
      </c>
      <c r="D31" s="67">
        <f t="shared" si="3"/>
        <v>176.12084899968565</v>
      </c>
      <c r="E31" s="67">
        <f t="shared" si="4"/>
        <v>215.70310655749748</v>
      </c>
      <c r="F31" s="67">
        <f t="shared" si="5"/>
        <v>249.07249327201941</v>
      </c>
      <c r="G31" s="67">
        <f t="shared" si="6"/>
        <v>278.47151314079724</v>
      </c>
      <c r="H31" s="67">
        <f t="shared" si="7"/>
        <v>305.0502587396219</v>
      </c>
      <c r="I31" s="67">
        <f t="shared" si="8"/>
        <v>329.4919378122859</v>
      </c>
      <c r="J31" s="67">
        <f t="shared" si="9"/>
        <v>352.2416979993713</v>
      </c>
      <c r="K31" s="67">
        <f t="shared" si="10"/>
        <v>373.6087399080291</v>
      </c>
      <c r="L31" s="68">
        <f t="shared" si="11"/>
        <v>393.818190618273</v>
      </c>
      <c r="M31" s="654"/>
      <c r="O31" s="603"/>
      <c r="P31" s="769">
        <f t="shared" si="12"/>
        <v>0.0019078583999999998</v>
      </c>
      <c r="Q31" s="770">
        <f t="shared" si="13"/>
        <v>393.818190618273</v>
      </c>
      <c r="R31" s="603"/>
      <c r="S31" s="10"/>
      <c r="T31" s="771">
        <f t="shared" si="14"/>
        <v>80</v>
      </c>
      <c r="U31" s="591"/>
    </row>
    <row r="32" spans="2:21" ht="18" customHeight="1">
      <c r="B32" s="720">
        <v>90</v>
      </c>
      <c r="C32" s="72">
        <f t="shared" si="2"/>
        <v>110.69888589867531</v>
      </c>
      <c r="D32" s="67">
        <f t="shared" si="3"/>
        <v>156.5518657774984</v>
      </c>
      <c r="E32" s="67">
        <f t="shared" si="4"/>
        <v>191.73609471777556</v>
      </c>
      <c r="F32" s="67">
        <f t="shared" si="5"/>
        <v>221.39777179735063</v>
      </c>
      <c r="G32" s="67">
        <f t="shared" si="6"/>
        <v>247.53023390293092</v>
      </c>
      <c r="H32" s="67">
        <f t="shared" si="7"/>
        <v>271.1557855463306</v>
      </c>
      <c r="I32" s="67">
        <f t="shared" si="8"/>
        <v>292.8817224998097</v>
      </c>
      <c r="J32" s="67">
        <f t="shared" si="9"/>
        <v>313.1037315549968</v>
      </c>
      <c r="K32" s="67">
        <f t="shared" si="10"/>
        <v>332.09665769602594</v>
      </c>
      <c r="L32" s="68">
        <f t="shared" si="11"/>
        <v>350.06061388290937</v>
      </c>
      <c r="M32" s="654"/>
      <c r="O32" s="603"/>
      <c r="P32" s="769">
        <f t="shared" si="12"/>
        <v>0.0021463407</v>
      </c>
      <c r="Q32" s="770">
        <f t="shared" si="13"/>
        <v>350.06061388290937</v>
      </c>
      <c r="R32" s="603"/>
      <c r="S32" s="10"/>
      <c r="T32" s="771">
        <f t="shared" si="14"/>
        <v>90</v>
      </c>
      <c r="U32" s="591"/>
    </row>
    <row r="33" spans="1:21" ht="18" customHeight="1">
      <c r="A33" s="772"/>
      <c r="B33" s="722">
        <v>100</v>
      </c>
      <c r="C33" s="72">
        <f t="shared" si="2"/>
        <v>99.62899730880777</v>
      </c>
      <c r="D33" s="67">
        <f t="shared" si="3"/>
        <v>140.89667919974855</v>
      </c>
      <c r="E33" s="67">
        <f t="shared" si="4"/>
        <v>172.562485245998</v>
      </c>
      <c r="F33" s="67">
        <f t="shared" si="5"/>
        <v>199.25799461761554</v>
      </c>
      <c r="G33" s="67">
        <f t="shared" si="6"/>
        <v>222.7772105126378</v>
      </c>
      <c r="H33" s="67">
        <f t="shared" si="7"/>
        <v>244.04020699169752</v>
      </c>
      <c r="I33" s="67">
        <f t="shared" si="8"/>
        <v>263.59355024982875</v>
      </c>
      <c r="J33" s="67">
        <f t="shared" si="9"/>
        <v>281.7933583994971</v>
      </c>
      <c r="K33" s="67">
        <f t="shared" si="10"/>
        <v>298.8869919264233</v>
      </c>
      <c r="L33" s="68">
        <f t="shared" si="11"/>
        <v>315.0545524946184</v>
      </c>
      <c r="M33" s="654"/>
      <c r="N33" s="772"/>
      <c r="O33" s="34"/>
      <c r="P33" s="769">
        <f t="shared" si="12"/>
        <v>0.002384823</v>
      </c>
      <c r="Q33" s="770">
        <f>($O$23/P33)/10</f>
        <v>315.0545524946184</v>
      </c>
      <c r="R33" s="34"/>
      <c r="S33" s="10"/>
      <c r="T33" s="771">
        <f t="shared" si="14"/>
        <v>100</v>
      </c>
      <c r="U33" s="169"/>
    </row>
    <row r="34" spans="2:20" ht="18" customHeight="1">
      <c r="B34" s="773"/>
      <c r="C34" s="740"/>
      <c r="D34" s="740"/>
      <c r="E34" s="740"/>
      <c r="F34" s="740"/>
      <c r="G34" s="740"/>
      <c r="H34" s="740"/>
      <c r="I34" s="740"/>
      <c r="J34" s="740"/>
      <c r="K34" s="740"/>
      <c r="L34" s="741"/>
      <c r="Q34" s="192"/>
      <c r="T34" s="771">
        <f t="shared" si="14"/>
        <v>0</v>
      </c>
    </row>
    <row r="35" spans="2:12" ht="18" customHeight="1">
      <c r="B35" s="739"/>
      <c r="C35" s="17" t="s">
        <v>31</v>
      </c>
      <c r="D35" s="890">
        <f>O40</f>
        <v>15752.72762473092</v>
      </c>
      <c r="E35" s="890"/>
      <c r="F35" s="7" t="s">
        <v>33</v>
      </c>
      <c r="G35" s="183" t="s">
        <v>344</v>
      </c>
      <c r="H35" s="725">
        <f>P20</f>
        <v>0.5</v>
      </c>
      <c r="I35" s="293" t="s">
        <v>356</v>
      </c>
      <c r="J35" s="8"/>
      <c r="K35" s="8"/>
      <c r="L35" s="346"/>
    </row>
    <row r="36" spans="2:19" ht="15" customHeight="1">
      <c r="B36" s="739"/>
      <c r="C36" s="729"/>
      <c r="D36" s="729"/>
      <c r="E36" s="729"/>
      <c r="F36" s="729"/>
      <c r="H36" s="729"/>
      <c r="I36" s="729"/>
      <c r="J36" s="729"/>
      <c r="K36" s="729"/>
      <c r="L36" s="742"/>
      <c r="R36" s="762"/>
      <c r="S36" s="762"/>
    </row>
    <row r="37" spans="2:19" ht="15" customHeight="1">
      <c r="B37" s="739"/>
      <c r="C37" s="8"/>
      <c r="D37" s="8"/>
      <c r="E37" s="8"/>
      <c r="F37" s="8"/>
      <c r="G37" s="8"/>
      <c r="H37" s="8"/>
      <c r="I37" s="8"/>
      <c r="J37" s="8"/>
      <c r="K37" s="8"/>
      <c r="L37" s="346"/>
      <c r="N37" s="729"/>
      <c r="R37" s="762"/>
      <c r="S37" s="762"/>
    </row>
    <row r="38" spans="2:19" ht="15" customHeight="1">
      <c r="B38" s="739"/>
      <c r="C38" s="17" t="s">
        <v>31</v>
      </c>
      <c r="D38" s="8" t="s">
        <v>25</v>
      </c>
      <c r="E38" s="8"/>
      <c r="F38" s="8"/>
      <c r="G38" s="8"/>
      <c r="H38" s="8"/>
      <c r="I38" s="8"/>
      <c r="J38" s="8"/>
      <c r="K38" s="8"/>
      <c r="L38" s="346"/>
      <c r="N38" s="729"/>
      <c r="O38" s="97">
        <f>O23</f>
        <v>7.513493430438733</v>
      </c>
      <c r="R38" s="762"/>
      <c r="S38" s="762"/>
    </row>
    <row r="39" spans="2:19" ht="15" customHeight="1">
      <c r="B39" s="739"/>
      <c r="C39" s="17" t="s">
        <v>32</v>
      </c>
      <c r="D39" s="8" t="s">
        <v>345</v>
      </c>
      <c r="E39" s="8"/>
      <c r="F39" s="8"/>
      <c r="G39" s="8"/>
      <c r="H39" s="8"/>
      <c r="I39" s="8"/>
      <c r="J39" s="8"/>
      <c r="K39" s="8"/>
      <c r="L39" s="346"/>
      <c r="N39" s="729"/>
      <c r="O39" s="774">
        <f>((0.278*$J$17*POWER(10,-6)))</f>
        <v>4.769646E-05</v>
      </c>
      <c r="R39" s="762"/>
      <c r="S39" s="762"/>
    </row>
    <row r="40" spans="2:19" ht="15" customHeight="1">
      <c r="B40" s="739"/>
      <c r="C40" s="17" t="s">
        <v>357</v>
      </c>
      <c r="D40" s="8" t="s">
        <v>346</v>
      </c>
      <c r="E40" s="8"/>
      <c r="F40" s="8"/>
      <c r="G40" s="8"/>
      <c r="H40" s="8"/>
      <c r="I40" s="8"/>
      <c r="J40" s="8"/>
      <c r="K40" s="130" t="s">
        <v>34</v>
      </c>
      <c r="L40" s="346"/>
      <c r="N40" s="729"/>
      <c r="O40" s="102">
        <f>(O38/O39)/10</f>
        <v>15752.72762473092</v>
      </c>
      <c r="R40" s="762"/>
      <c r="S40" s="762"/>
    </row>
    <row r="41" spans="2:19" ht="15" customHeight="1">
      <c r="B41" s="739"/>
      <c r="C41" s="17" t="s">
        <v>358</v>
      </c>
      <c r="D41" s="860" t="s">
        <v>350</v>
      </c>
      <c r="E41" s="860"/>
      <c r="F41" s="860"/>
      <c r="G41" s="860"/>
      <c r="H41" s="860"/>
      <c r="I41" s="860"/>
      <c r="J41" s="860"/>
      <c r="K41" s="591">
        <f>P20</f>
        <v>0.5</v>
      </c>
      <c r="L41" s="742"/>
      <c r="N41" s="729"/>
      <c r="O41" s="99"/>
      <c r="R41" s="762"/>
      <c r="S41" s="762"/>
    </row>
    <row r="42" spans="2:19" ht="11.25" customHeight="1">
      <c r="B42" s="739"/>
      <c r="C42" s="729"/>
      <c r="D42" s="729"/>
      <c r="E42" s="729"/>
      <c r="F42" s="729"/>
      <c r="G42" s="729"/>
      <c r="H42" s="729"/>
      <c r="I42" s="729"/>
      <c r="J42" s="729"/>
      <c r="K42" s="729"/>
      <c r="L42" s="742"/>
      <c r="N42" s="729"/>
      <c r="R42" s="762"/>
      <c r="S42" s="762"/>
    </row>
    <row r="43" spans="2:14" ht="12.75">
      <c r="B43" s="739"/>
      <c r="C43" s="729"/>
      <c r="D43" s="729"/>
      <c r="E43" s="729"/>
      <c r="F43" s="729"/>
      <c r="G43" s="729"/>
      <c r="H43" s="729"/>
      <c r="I43" s="729"/>
      <c r="J43" s="729"/>
      <c r="K43" s="729"/>
      <c r="L43" s="742"/>
      <c r="N43" s="729"/>
    </row>
    <row r="44" spans="2:12" ht="21.75" customHeight="1">
      <c r="B44" s="775"/>
      <c r="C44" s="776"/>
      <c r="D44" s="776"/>
      <c r="E44" s="776"/>
      <c r="F44" s="776"/>
      <c r="G44" s="776"/>
      <c r="H44" s="776"/>
      <c r="I44" s="776"/>
      <c r="J44" s="776"/>
      <c r="K44" s="776"/>
      <c r="L44" s="777"/>
    </row>
  </sheetData>
  <sheetProtection/>
  <mergeCells count="32">
    <mergeCell ref="D41:J41"/>
    <mergeCell ref="C12:L12"/>
    <mergeCell ref="C22:C23"/>
    <mergeCell ref="D22:D23"/>
    <mergeCell ref="E22:E23"/>
    <mergeCell ref="F22:F23"/>
    <mergeCell ref="D35:E35"/>
    <mergeCell ref="L22:L23"/>
    <mergeCell ref="J14:L14"/>
    <mergeCell ref="M22:M23"/>
    <mergeCell ref="C20:L21"/>
    <mergeCell ref="K22:K23"/>
    <mergeCell ref="G22:G23"/>
    <mergeCell ref="H22:H23"/>
    <mergeCell ref="I22:I23"/>
    <mergeCell ref="J22:J23"/>
    <mergeCell ref="X5:Z5"/>
    <mergeCell ref="R9:X9"/>
    <mergeCell ref="S10:X10"/>
    <mergeCell ref="R13:R14"/>
    <mergeCell ref="U13:V13"/>
    <mergeCell ref="X13:Z13"/>
    <mergeCell ref="S14:U14"/>
    <mergeCell ref="X14:Z14"/>
    <mergeCell ref="F2:L2"/>
    <mergeCell ref="F4:L4"/>
    <mergeCell ref="F5:L5"/>
    <mergeCell ref="B11:L11"/>
    <mergeCell ref="B7:L7"/>
    <mergeCell ref="B10:L10"/>
    <mergeCell ref="F3:L3"/>
    <mergeCell ref="B2:E5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4"/>
  <drawing r:id="rId3"/>
  <legacyDrawing r:id="rId2"/>
  <oleObjects>
    <oleObject progId="Equation.3" shapeId="136795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B1:W40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19.5" customHeight="1">
      <c r="C2" s="878"/>
      <c r="D2" s="879"/>
      <c r="E2" s="879"/>
      <c r="F2" s="880"/>
      <c r="G2" s="861" t="str">
        <f>'[5]BASE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19.5" customHeight="1">
      <c r="C3" s="881"/>
      <c r="D3" s="882"/>
      <c r="E3" s="882"/>
      <c r="F3" s="883"/>
      <c r="G3" s="864"/>
      <c r="H3" s="865"/>
      <c r="I3" s="865"/>
      <c r="J3" s="865"/>
      <c r="K3" s="865"/>
      <c r="L3" s="865"/>
      <c r="M3" s="865"/>
      <c r="N3" s="865"/>
      <c r="O3" s="866"/>
    </row>
    <row r="4" spans="3:18" ht="19.5" customHeight="1">
      <c r="C4" s="881"/>
      <c r="D4" s="882"/>
      <c r="E4" s="882"/>
      <c r="F4" s="883"/>
      <c r="G4" s="864"/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19.5" customHeight="1">
      <c r="C5" s="884"/>
      <c r="D5" s="885"/>
      <c r="E5" s="885"/>
      <c r="F5" s="886"/>
      <c r="G5" s="908"/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28" t="s">
        <v>306</v>
      </c>
      <c r="E7" s="828"/>
      <c r="F7" s="828"/>
      <c r="G7" s="828"/>
      <c r="H7" s="828"/>
      <c r="I7" s="828"/>
      <c r="J7" s="828"/>
      <c r="K7" s="828"/>
      <c r="L7" s="828"/>
      <c r="M7" s="828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2.75">
      <c r="C9" s="82"/>
      <c r="D9" s="888" t="s">
        <v>274</v>
      </c>
      <c r="E9" s="888"/>
      <c r="F9" s="888"/>
      <c r="G9" s="888"/>
      <c r="H9" s="888"/>
      <c r="I9" s="888"/>
      <c r="J9" s="888"/>
      <c r="K9" s="888"/>
      <c r="L9" s="888"/>
      <c r="M9" s="888"/>
      <c r="N9" s="5"/>
      <c r="O9" s="83"/>
    </row>
    <row r="10" spans="3:15" ht="12.75">
      <c r="C10" s="82"/>
      <c r="M10" s="5"/>
      <c r="N10" s="5"/>
      <c r="O10" s="83"/>
    </row>
    <row r="11" spans="3:15" ht="12.75">
      <c r="C11" s="82"/>
      <c r="D11" s="921" t="s">
        <v>24</v>
      </c>
      <c r="E11" s="921"/>
      <c r="F11" s="921"/>
      <c r="G11" s="921"/>
      <c r="H11" s="921"/>
      <c r="I11" s="921"/>
      <c r="J11" s="921"/>
      <c r="K11" s="921"/>
      <c r="L11" s="921"/>
      <c r="M11" s="921"/>
      <c r="N11" s="5"/>
      <c r="O11" s="83"/>
    </row>
    <row r="12" spans="3:15" ht="19.5" customHeight="1">
      <c r="C12" s="87"/>
      <c r="D12" s="13"/>
      <c r="E12" s="13"/>
      <c r="F12" s="13"/>
      <c r="G12" s="13"/>
      <c r="H12" s="13"/>
      <c r="I12" s="13"/>
      <c r="O12" s="83"/>
    </row>
    <row r="13" spans="3:15" ht="15" customHeight="1">
      <c r="C13" s="87" t="s">
        <v>4</v>
      </c>
      <c r="D13" s="125">
        <v>0.0375</v>
      </c>
      <c r="E13" s="5" t="s">
        <v>8</v>
      </c>
      <c r="F13" s="12"/>
      <c r="G13" s="12"/>
      <c r="H13" s="12"/>
      <c r="I13" s="12"/>
      <c r="J13" s="810" t="s">
        <v>51</v>
      </c>
      <c r="K13" s="810"/>
      <c r="L13" s="922" t="str">
        <f>'[4]BASE '!$L$14</f>
        <v>Sete Lagoas - MG</v>
      </c>
      <c r="M13" s="922"/>
      <c r="N13" s="922"/>
      <c r="O13" s="83"/>
    </row>
    <row r="14" spans="3:15" ht="15" customHeight="1">
      <c r="C14" s="87" t="s">
        <v>5</v>
      </c>
      <c r="D14" s="125">
        <v>0.636</v>
      </c>
      <c r="E14" s="5" t="s">
        <v>7</v>
      </c>
      <c r="F14" s="8"/>
      <c r="G14" s="8"/>
      <c r="H14" s="8"/>
      <c r="I14" s="8"/>
      <c r="J14" s="6" t="s">
        <v>18</v>
      </c>
      <c r="K14" s="7">
        <f>'[4]BASE '!K15</f>
        <v>10</v>
      </c>
      <c r="L14" s="5" t="s">
        <v>12</v>
      </c>
      <c r="M14" s="5"/>
      <c r="N14" s="5"/>
      <c r="O14" s="83"/>
    </row>
    <row r="15" spans="3:15" ht="15" customHeight="1">
      <c r="C15" s="87" t="s">
        <v>6</v>
      </c>
      <c r="D15" s="91">
        <f>D13/D14</f>
        <v>0.05896226415094339</v>
      </c>
      <c r="E15" s="8" t="s">
        <v>7</v>
      </c>
      <c r="F15" s="92">
        <f>POWER($D$15,2/3)</f>
        <v>0.15148958227741433</v>
      </c>
      <c r="G15" s="8"/>
      <c r="H15" s="8"/>
      <c r="I15" s="8"/>
      <c r="J15" s="6" t="s">
        <v>17</v>
      </c>
      <c r="K15" s="7">
        <f>'[4]BASE '!K16</f>
        <v>5</v>
      </c>
      <c r="L15" s="5" t="s">
        <v>13</v>
      </c>
      <c r="M15" s="5"/>
      <c r="N15" s="5"/>
      <c r="O15" s="83"/>
    </row>
    <row r="16" spans="3:15" ht="15" customHeight="1">
      <c r="C16" s="87" t="s">
        <v>9</v>
      </c>
      <c r="D16" s="91">
        <f>'[5]BASE '!D17</f>
        <v>0.015</v>
      </c>
      <c r="E16" s="5"/>
      <c r="F16" s="5"/>
      <c r="G16" s="5"/>
      <c r="H16" s="5"/>
      <c r="I16" s="5"/>
      <c r="J16" s="6" t="s">
        <v>19</v>
      </c>
      <c r="K16" s="10">
        <f>'[4]BASE '!K17</f>
        <v>148.68</v>
      </c>
      <c r="L16" s="8" t="s">
        <v>14</v>
      </c>
      <c r="M16" s="5"/>
      <c r="N16" s="5"/>
      <c r="O16" s="83"/>
    </row>
    <row r="17" spans="2:23" ht="18" customHeight="1">
      <c r="B17" s="15"/>
      <c r="C17" s="38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383"/>
      <c r="P17" s="19">
        <v>0.4</v>
      </c>
      <c r="Q17" s="16"/>
      <c r="R17" s="167"/>
      <c r="S17" s="167"/>
      <c r="T17" s="169"/>
      <c r="U17" s="3"/>
      <c r="V17" s="5"/>
      <c r="W17" s="5"/>
    </row>
    <row r="18" spans="2:23" ht="12.75">
      <c r="B18" s="22"/>
      <c r="C18" s="23"/>
      <c r="D18" s="830" t="s">
        <v>20</v>
      </c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2"/>
      <c r="P18" s="8"/>
      <c r="Q18" s="38" t="s">
        <v>10</v>
      </c>
      <c r="R18" s="124">
        <v>0.9</v>
      </c>
      <c r="S18" s="31"/>
      <c r="T18" s="38" t="s">
        <v>11</v>
      </c>
      <c r="U18" s="124">
        <v>6.1</v>
      </c>
      <c r="V18" s="5"/>
      <c r="W18" s="5"/>
    </row>
    <row r="19" spans="2:23" ht="12.75">
      <c r="B19" s="6"/>
      <c r="C19" s="938" t="s">
        <v>39</v>
      </c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7"/>
      <c r="Q19" s="38" t="s">
        <v>10</v>
      </c>
      <c r="R19" s="124">
        <v>0.9</v>
      </c>
      <c r="S19" s="31"/>
      <c r="T19" s="38" t="s">
        <v>210</v>
      </c>
      <c r="U19" s="124">
        <v>12.2</v>
      </c>
      <c r="V19" s="5"/>
      <c r="W19" s="5"/>
    </row>
    <row r="20" spans="2:23" ht="12.75">
      <c r="B20" s="7"/>
      <c r="C20" s="938"/>
      <c r="D20" s="939">
        <v>0.5</v>
      </c>
      <c r="E20" s="975">
        <v>1</v>
      </c>
      <c r="F20" s="975">
        <v>1.5</v>
      </c>
      <c r="G20" s="975">
        <v>2</v>
      </c>
      <c r="H20" s="975">
        <v>2.5</v>
      </c>
      <c r="I20" s="975">
        <v>3</v>
      </c>
      <c r="J20" s="975">
        <v>3.5</v>
      </c>
      <c r="K20" s="975">
        <v>4</v>
      </c>
      <c r="L20" s="975">
        <v>4.5</v>
      </c>
      <c r="M20" s="975">
        <v>5</v>
      </c>
      <c r="N20" s="975">
        <v>6</v>
      </c>
      <c r="O20" s="973">
        <v>7</v>
      </c>
      <c r="Q20" s="38" t="s">
        <v>10</v>
      </c>
      <c r="R20" s="124">
        <v>0.9</v>
      </c>
      <c r="S20" s="5"/>
      <c r="T20" s="38" t="s">
        <v>275</v>
      </c>
      <c r="U20" s="124">
        <v>8.7</v>
      </c>
      <c r="V20" s="5"/>
      <c r="W20" s="5"/>
    </row>
    <row r="21" spans="2:23" ht="12.75">
      <c r="B21" s="22"/>
      <c r="C21" s="25"/>
      <c r="D21" s="940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4"/>
      <c r="Q21" s="38" t="s">
        <v>10</v>
      </c>
      <c r="R21" s="124">
        <v>0.9</v>
      </c>
      <c r="S21" s="5"/>
      <c r="T21" s="38" t="s">
        <v>276</v>
      </c>
      <c r="U21" s="124">
        <v>14.8</v>
      </c>
      <c r="V21" s="5"/>
      <c r="W21" s="5"/>
    </row>
    <row r="22" spans="2:23" ht="21" customHeight="1">
      <c r="B22" s="22"/>
      <c r="C22" s="941" t="s">
        <v>40</v>
      </c>
      <c r="D22" s="943">
        <f aca="true" t="shared" si="0" ref="D22:O22">(($Q$23/$R$24)/10)*SQRT(D20)</f>
        <v>118.01523787505883</v>
      </c>
      <c r="E22" s="945">
        <f t="shared" si="0"/>
        <v>166.89874996959514</v>
      </c>
      <c r="F22" s="945">
        <f t="shared" si="0"/>
        <v>204.40838806692875</v>
      </c>
      <c r="G22" s="945">
        <f t="shared" si="0"/>
        <v>236.03047575011766</v>
      </c>
      <c r="H22" s="945">
        <f t="shared" si="0"/>
        <v>263.8900942694394</v>
      </c>
      <c r="I22" s="945">
        <f t="shared" si="0"/>
        <v>289.0771146670734</v>
      </c>
      <c r="J22" s="945">
        <f t="shared" si="0"/>
        <v>312.2389703335364</v>
      </c>
      <c r="K22" s="945">
        <f t="shared" si="0"/>
        <v>333.7974999391903</v>
      </c>
      <c r="L22" s="945">
        <f t="shared" si="0"/>
        <v>354.0457136251764</v>
      </c>
      <c r="M22" s="945">
        <f t="shared" si="0"/>
        <v>373.19695029175574</v>
      </c>
      <c r="N22" s="945">
        <f t="shared" si="0"/>
        <v>408.8167761338575</v>
      </c>
      <c r="O22" s="947">
        <f t="shared" si="0"/>
        <v>441.57258654709767</v>
      </c>
      <c r="Q22" s="11" t="s">
        <v>22</v>
      </c>
      <c r="R22" s="11" t="s">
        <v>21</v>
      </c>
      <c r="S22" s="11" t="s">
        <v>23</v>
      </c>
      <c r="T22" s="114"/>
      <c r="U22" s="7"/>
      <c r="V22" s="7"/>
      <c r="W22" s="7"/>
    </row>
    <row r="23" spans="2:23" ht="21" customHeight="1">
      <c r="B23" s="22"/>
      <c r="C23" s="942"/>
      <c r="D23" s="944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8"/>
      <c r="Q23" s="590">
        <f>($D$13*$F$15)/$D$16</f>
        <v>0.3787239556935358</v>
      </c>
      <c r="R23" s="30"/>
      <c r="S23" s="26"/>
      <c r="T23" s="114"/>
      <c r="U23" s="3"/>
      <c r="V23" s="3"/>
      <c r="W23" s="3"/>
    </row>
    <row r="24" spans="3:23" ht="21" customHeight="1">
      <c r="C24" s="949" t="s">
        <v>41</v>
      </c>
      <c r="D24" s="943">
        <f aca="true" t="shared" si="1" ref="D24:O24">(($Q$23/$R$25)/10)*SQRT(D20)</f>
        <v>59.007618937529415</v>
      </c>
      <c r="E24" s="945">
        <f t="shared" si="1"/>
        <v>83.44937498479757</v>
      </c>
      <c r="F24" s="945">
        <f t="shared" si="1"/>
        <v>102.20419403346438</v>
      </c>
      <c r="G24" s="945">
        <f t="shared" si="1"/>
        <v>118.01523787505883</v>
      </c>
      <c r="H24" s="945">
        <f t="shared" si="1"/>
        <v>131.9450471347197</v>
      </c>
      <c r="I24" s="945">
        <f t="shared" si="1"/>
        <v>144.5385573335367</v>
      </c>
      <c r="J24" s="945">
        <f t="shared" si="1"/>
        <v>156.1194851667682</v>
      </c>
      <c r="K24" s="945">
        <f t="shared" si="1"/>
        <v>166.89874996959514</v>
      </c>
      <c r="L24" s="945">
        <f t="shared" si="1"/>
        <v>177.0228568125882</v>
      </c>
      <c r="M24" s="945">
        <f t="shared" si="1"/>
        <v>186.59847514587787</v>
      </c>
      <c r="N24" s="945">
        <f t="shared" si="1"/>
        <v>204.40838806692875</v>
      </c>
      <c r="O24" s="947">
        <f t="shared" si="1"/>
        <v>220.78629327354884</v>
      </c>
      <c r="Q24" s="3"/>
      <c r="R24" s="30">
        <f>((0.278*$K$16*POWER(10,-6)*(($R$18*$U$18))))</f>
        <v>0.00022691838960000002</v>
      </c>
      <c r="S24" s="26">
        <f>($Q$23/R24)/10</f>
        <v>166.89874996959514</v>
      </c>
      <c r="T24" s="3">
        <f>R24*S24</f>
        <v>0.03787239556935358</v>
      </c>
      <c r="U24" s="10"/>
      <c r="V24" s="52"/>
      <c r="W24" s="591"/>
    </row>
    <row r="25" spans="3:23" ht="18" customHeight="1">
      <c r="C25" s="950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3"/>
      <c r="R25" s="30">
        <f>((0.278*$K$16*POWER(10,-6)*(($R$19*$U$19))))</f>
        <v>0.00045383677920000004</v>
      </c>
      <c r="S25" s="26">
        <f>($Q$23/R25)/10</f>
        <v>83.44937498479757</v>
      </c>
      <c r="T25" s="3"/>
      <c r="U25" s="10"/>
      <c r="V25" s="52"/>
      <c r="W25" s="591"/>
    </row>
    <row r="26" spans="3:19" s="592" customFormat="1" ht="42" customHeight="1">
      <c r="C26" s="593" t="s">
        <v>285</v>
      </c>
      <c r="D26" s="594">
        <f aca="true" t="shared" si="2" ref="D26:O26">(($Q$23/$R$26)/10)*SQRT(D20)</f>
        <v>82.74631621124814</v>
      </c>
      <c r="E26" s="595">
        <f t="shared" si="2"/>
        <v>117.02096262235982</v>
      </c>
      <c r="F26" s="595">
        <f t="shared" si="2"/>
        <v>143.320823817042</v>
      </c>
      <c r="G26" s="595">
        <f t="shared" si="2"/>
        <v>165.49263242249629</v>
      </c>
      <c r="H26" s="595">
        <f t="shared" si="2"/>
        <v>185.0263879360437</v>
      </c>
      <c r="I26" s="595">
        <f t="shared" si="2"/>
        <v>202.68625281254572</v>
      </c>
      <c r="J26" s="595">
        <f t="shared" si="2"/>
        <v>218.92617460167494</v>
      </c>
      <c r="K26" s="595">
        <f t="shared" si="2"/>
        <v>234.04192524471964</v>
      </c>
      <c r="L26" s="595">
        <f t="shared" si="2"/>
        <v>248.2389486337444</v>
      </c>
      <c r="M26" s="595">
        <f t="shared" si="2"/>
        <v>261.6668272160586</v>
      </c>
      <c r="N26" s="595">
        <f t="shared" si="2"/>
        <v>286.641647634084</v>
      </c>
      <c r="O26" s="596">
        <f t="shared" si="2"/>
        <v>309.608365280149</v>
      </c>
      <c r="R26" s="597">
        <f>((0.278*$K$16*POWER(10,-6)*(($R$20*$U$20))))</f>
        <v>0.00032363770319999996</v>
      </c>
      <c r="S26" s="598">
        <f>($Q$23/R26)/10</f>
        <v>117.02096262235982</v>
      </c>
    </row>
    <row r="27" spans="3:19" s="592" customFormat="1" ht="42" customHeight="1">
      <c r="C27" s="593" t="s">
        <v>286</v>
      </c>
      <c r="D27" s="594">
        <f aca="true" t="shared" si="3" ref="D27:O27">(($Q$23/$R$27)/10)*SQRT(D20)</f>
        <v>48.641415610666144</v>
      </c>
      <c r="E27" s="595">
        <f t="shared" si="3"/>
        <v>68.78934964963044</v>
      </c>
      <c r="F27" s="595">
        <f t="shared" si="3"/>
        <v>84.24940318974768</v>
      </c>
      <c r="G27" s="595">
        <f t="shared" si="3"/>
        <v>97.28283122133229</v>
      </c>
      <c r="H27" s="595">
        <f t="shared" si="3"/>
        <v>108.76551182726894</v>
      </c>
      <c r="I27" s="595">
        <f t="shared" si="3"/>
        <v>119.14664861278025</v>
      </c>
      <c r="J27" s="595">
        <f t="shared" si="3"/>
        <v>128.69308912395758</v>
      </c>
      <c r="K27" s="595">
        <f t="shared" si="3"/>
        <v>137.57869929926088</v>
      </c>
      <c r="L27" s="595">
        <f t="shared" si="3"/>
        <v>145.9242468319984</v>
      </c>
      <c r="M27" s="595">
        <f t="shared" si="3"/>
        <v>153.817661944575</v>
      </c>
      <c r="N27" s="595">
        <f t="shared" si="3"/>
        <v>168.49880637949536</v>
      </c>
      <c r="O27" s="596">
        <f t="shared" si="3"/>
        <v>181.99951202279027</v>
      </c>
      <c r="R27" s="597">
        <f>((0.278*$K$16*POWER(10,-6)*(($R$21*$U$21))))</f>
        <v>0.0005505560928</v>
      </c>
      <c r="S27" s="598">
        <f>($Q$23/R27)/10</f>
        <v>68.78934964963044</v>
      </c>
    </row>
    <row r="28" spans="3:15" ht="42" customHeight="1">
      <c r="C28" s="599" t="s">
        <v>211</v>
      </c>
      <c r="D28" s="600">
        <f>(D29*$D$13)</f>
        <v>0.02677982772686928</v>
      </c>
      <c r="E28" s="600">
        <f>($E$29*$D$13)</f>
        <v>0.03787239556935359</v>
      </c>
      <c r="F28" s="600">
        <f>($F$29*$D$13)</f>
        <v>0.04638402224087934</v>
      </c>
      <c r="G28" s="600">
        <f>($G$29*$D$13)</f>
        <v>0.05355965545373856</v>
      </c>
      <c r="H28" s="600">
        <f>($H$29*$D$13)</f>
        <v>0.059881515223013375</v>
      </c>
      <c r="I28" s="600">
        <f>($I$29*$D$13)</f>
        <v>0.06559691333046684</v>
      </c>
      <c r="J28" s="600">
        <f>($J$29*$D$13)</f>
        <v>0.07085276431844827</v>
      </c>
      <c r="K28" s="600">
        <f>($K$29*$D$13)</f>
        <v>0.07574479113870718</v>
      </c>
      <c r="L28" s="600">
        <f>($L$29*$D$13)</f>
        <v>0.08033948318060782</v>
      </c>
      <c r="M28" s="600">
        <f>($M$29*$D$13)</f>
        <v>0.08468525096383646</v>
      </c>
      <c r="N28" s="600">
        <f>($N$29*$D$13)</f>
        <v>0.09276804448175868</v>
      </c>
      <c r="O28" s="601">
        <f>($O$29*$D$13)</f>
        <v>0.10020094023077404</v>
      </c>
    </row>
    <row r="29" spans="3:15" ht="42" customHeight="1">
      <c r="C29" s="185" t="s">
        <v>212</v>
      </c>
      <c r="D29" s="186">
        <f>($F$15/$D$16)*POWER($D$20/100,1/2)</f>
        <v>0.7141287393831808</v>
      </c>
      <c r="E29" s="186">
        <f>($F$15/$D$16)*POWER($E$20/100,1/2)</f>
        <v>1.0099305485160956</v>
      </c>
      <c r="F29" s="186">
        <f>($F$15/$D$16)*POWER($F$20/100,1/2)</f>
        <v>1.2369072597567825</v>
      </c>
      <c r="G29" s="186">
        <f>($F$15/$D$16)*POWER($G$20/100,1/2)</f>
        <v>1.4282574787663616</v>
      </c>
      <c r="H29" s="186">
        <f>($F$15/$D$16)*POWER($H$20/100,1/2)</f>
        <v>1.5968404059470234</v>
      </c>
      <c r="I29" s="186">
        <f>($F$15/$D$16)*POWER($I$20/100,1/2)</f>
        <v>1.7492510221457827</v>
      </c>
      <c r="J29" s="186">
        <f>($F$15/$D$16)*POWER($J$20/100,1/2)</f>
        <v>1.8894070484919538</v>
      </c>
      <c r="K29" s="186">
        <f>($F$15/$D$16)*POWER($K$20/100,1/2)</f>
        <v>2.0198610970321913</v>
      </c>
      <c r="L29" s="186">
        <f>($F$15/$D$16)*POWER($L$20/100,1/2)</f>
        <v>2.142386218149542</v>
      </c>
      <c r="M29" s="186">
        <f>($F$15/$D$16)*POWER($M$20/100,1/2)</f>
        <v>2.258273359035639</v>
      </c>
      <c r="N29" s="186">
        <f>($F$15/$D$16)*POWER($N$20/100,1/2)</f>
        <v>2.473814519513565</v>
      </c>
      <c r="O29" s="187">
        <f>($F$15/$D$16)*POWER($O$20/100,1/2)</f>
        <v>2.672025072820641</v>
      </c>
    </row>
    <row r="30" spans="3:15" ht="18" customHeight="1">
      <c r="C30" s="82"/>
      <c r="D30" s="602" t="s">
        <v>31</v>
      </c>
      <c r="E30" s="951">
        <f>Q34</f>
        <v>916.2741373330773</v>
      </c>
      <c r="F30" s="951"/>
      <c r="G30" s="603" t="s">
        <v>33</v>
      </c>
      <c r="H30" s="604" t="s">
        <v>277</v>
      </c>
      <c r="I30" s="605">
        <f>R18</f>
        <v>0.9</v>
      </c>
      <c r="J30" s="293" t="s">
        <v>278</v>
      </c>
      <c r="K30" s="5"/>
      <c r="L30" s="5"/>
      <c r="M30" s="5"/>
      <c r="N30" s="5"/>
      <c r="O30" s="83"/>
    </row>
    <row r="31" spans="3:21" ht="15" customHeight="1">
      <c r="C31" s="82"/>
      <c r="D31" s="6"/>
      <c r="E31" s="509"/>
      <c r="F31" s="509"/>
      <c r="G31" s="3"/>
      <c r="H31" s="183"/>
      <c r="I31" s="606"/>
      <c r="J31" s="168"/>
      <c r="K31" s="5"/>
      <c r="L31" s="5"/>
      <c r="M31" s="5"/>
      <c r="N31" s="5"/>
      <c r="O31" s="83"/>
      <c r="T31" s="1"/>
      <c r="U31" s="1"/>
    </row>
    <row r="32" spans="3:21" ht="15" customHeight="1">
      <c r="C32" s="82"/>
      <c r="D32" s="6" t="s">
        <v>31</v>
      </c>
      <c r="E32" s="5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83"/>
      <c r="Q32" s="97">
        <f>Q23</f>
        <v>0.3787239556935358</v>
      </c>
      <c r="T32" s="1"/>
      <c r="U32" s="1"/>
    </row>
    <row r="33" spans="3:21" ht="15" customHeight="1">
      <c r="C33" s="82"/>
      <c r="D33" s="6" t="s">
        <v>32</v>
      </c>
      <c r="E33" s="5" t="s">
        <v>26</v>
      </c>
      <c r="F33" s="5"/>
      <c r="G33" s="5"/>
      <c r="H33" s="5"/>
      <c r="I33" s="5"/>
      <c r="J33" s="5"/>
      <c r="K33" s="5"/>
      <c r="L33" s="5"/>
      <c r="M33" s="5"/>
      <c r="N33" s="5"/>
      <c r="O33" s="83"/>
      <c r="Q33" s="98">
        <f>((0.278*$K$16*POWER(10,-6)))</f>
        <v>4.133304E-05</v>
      </c>
      <c r="T33" s="1"/>
      <c r="U33" s="1"/>
    </row>
    <row r="34" spans="3:21" ht="15" customHeight="1">
      <c r="C34" s="82"/>
      <c r="D34" s="6" t="s">
        <v>29</v>
      </c>
      <c r="E34" s="5" t="s">
        <v>172</v>
      </c>
      <c r="F34" s="5"/>
      <c r="G34" s="5"/>
      <c r="H34" s="5"/>
      <c r="I34" s="5"/>
      <c r="J34" s="5"/>
      <c r="K34" s="5"/>
      <c r="L34" s="118">
        <f>U18</f>
        <v>6.1</v>
      </c>
      <c r="M34" s="5"/>
      <c r="N34" s="5"/>
      <c r="O34" s="83"/>
      <c r="Q34" s="102">
        <f>(Q32/Q33)/10</f>
        <v>916.2741373330773</v>
      </c>
      <c r="T34" s="1"/>
      <c r="U34" s="1"/>
    </row>
    <row r="35" spans="3:21" ht="15" customHeight="1">
      <c r="C35" s="82"/>
      <c r="D35" s="6" t="s">
        <v>29</v>
      </c>
      <c r="E35" s="5" t="s">
        <v>173</v>
      </c>
      <c r="F35" s="5"/>
      <c r="G35" s="5"/>
      <c r="H35" s="5"/>
      <c r="I35" s="5"/>
      <c r="J35" s="5"/>
      <c r="K35" s="5"/>
      <c r="L35" s="118">
        <f>U19</f>
        <v>12.2</v>
      </c>
      <c r="M35" s="5"/>
      <c r="N35" s="5"/>
      <c r="O35" s="83"/>
      <c r="Q35" s="99"/>
      <c r="T35" s="1"/>
      <c r="U35" s="1"/>
    </row>
    <row r="36" spans="3:21" ht="15" customHeight="1">
      <c r="C36" s="82"/>
      <c r="D36" s="6" t="s">
        <v>29</v>
      </c>
      <c r="E36" s="5" t="s">
        <v>287</v>
      </c>
      <c r="F36" s="5"/>
      <c r="G36" s="5"/>
      <c r="H36" s="5"/>
      <c r="I36" s="5"/>
      <c r="J36" s="5"/>
      <c r="K36" s="5"/>
      <c r="L36" s="118">
        <f>U20</f>
        <v>8.7</v>
      </c>
      <c r="M36" s="5"/>
      <c r="N36" s="5"/>
      <c r="O36" s="83"/>
      <c r="Q36" s="100"/>
      <c r="T36" s="1"/>
      <c r="U36" s="1"/>
    </row>
    <row r="37" spans="3:21" ht="15" customHeight="1">
      <c r="C37" s="82"/>
      <c r="D37" s="6" t="s">
        <v>29</v>
      </c>
      <c r="E37" s="5" t="s">
        <v>288</v>
      </c>
      <c r="F37" s="5"/>
      <c r="G37" s="5"/>
      <c r="H37" s="5"/>
      <c r="I37" s="5"/>
      <c r="J37" s="5"/>
      <c r="K37" s="5"/>
      <c r="L37" s="118">
        <f>U21</f>
        <v>14.8</v>
      </c>
      <c r="M37" s="5"/>
      <c r="N37" s="5"/>
      <c r="O37" s="83"/>
      <c r="R37" s="101"/>
      <c r="T37" s="1"/>
      <c r="U37" s="1"/>
    </row>
    <row r="38" spans="3:21" ht="6.75" customHeight="1">
      <c r="C38" s="952"/>
      <c r="D38" s="953"/>
      <c r="E38" s="953"/>
      <c r="F38" s="953"/>
      <c r="G38" s="953"/>
      <c r="H38" s="953"/>
      <c r="I38" s="953"/>
      <c r="J38" s="953"/>
      <c r="K38" s="953"/>
      <c r="L38" s="953"/>
      <c r="M38" s="953"/>
      <c r="N38" s="953"/>
      <c r="O38" s="954"/>
      <c r="T38" s="1"/>
      <c r="U38" s="1"/>
    </row>
    <row r="39" spans="20:21" s="5" customFormat="1" ht="15" customHeight="1">
      <c r="T39" s="3"/>
      <c r="U39" s="3"/>
    </row>
    <row r="40" ht="12.75">
      <c r="H40" s="5"/>
    </row>
  </sheetData>
  <sheetProtection/>
  <mergeCells count="54">
    <mergeCell ref="E30:F30"/>
    <mergeCell ref="Q4:R4"/>
    <mergeCell ref="O20:O21"/>
    <mergeCell ref="G2:O2"/>
    <mergeCell ref="G4:O4"/>
    <mergeCell ref="G5:O5"/>
    <mergeCell ref="D9:M9"/>
    <mergeCell ref="D11:M11"/>
    <mergeCell ref="D18:O19"/>
    <mergeCell ref="H20:H21"/>
    <mergeCell ref="D7:M7"/>
    <mergeCell ref="C19:C20"/>
    <mergeCell ref="N20:N21"/>
    <mergeCell ref="D22:D23"/>
    <mergeCell ref="E22:E23"/>
    <mergeCell ref="F22:F23"/>
    <mergeCell ref="G22:G23"/>
    <mergeCell ref="H22:H23"/>
    <mergeCell ref="J20:J21"/>
    <mergeCell ref="C22:C23"/>
    <mergeCell ref="D8:M8"/>
    <mergeCell ref="K20:K21"/>
    <mergeCell ref="L20:L21"/>
    <mergeCell ref="M20:M21"/>
    <mergeCell ref="D20:D21"/>
    <mergeCell ref="J13:K13"/>
    <mergeCell ref="F20:F21"/>
    <mergeCell ref="G20:G21"/>
    <mergeCell ref="I20:I21"/>
    <mergeCell ref="L13:N13"/>
    <mergeCell ref="N22:N23"/>
    <mergeCell ref="E20:E21"/>
    <mergeCell ref="O22:O23"/>
    <mergeCell ref="I22:I23"/>
    <mergeCell ref="J22:J23"/>
    <mergeCell ref="K22:K23"/>
    <mergeCell ref="L22:L23"/>
    <mergeCell ref="M22:M23"/>
    <mergeCell ref="I24:I25"/>
    <mergeCell ref="J24:J25"/>
    <mergeCell ref="C24:C25"/>
    <mergeCell ref="D24:D25"/>
    <mergeCell ref="E24:E25"/>
    <mergeCell ref="F24:F25"/>
    <mergeCell ref="C2:F5"/>
    <mergeCell ref="G3:O3"/>
    <mergeCell ref="O24:O25"/>
    <mergeCell ref="C38:O38"/>
    <mergeCell ref="K24:K25"/>
    <mergeCell ref="L24:L25"/>
    <mergeCell ref="M24:M25"/>
    <mergeCell ref="N24:N25"/>
    <mergeCell ref="G24:G25"/>
    <mergeCell ref="H24:H25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3"/>
  <legacyDrawing r:id="rId2"/>
  <oleObjects>
    <oleObject progId="Equation.3" shapeId="1010823" r:id="rId1"/>
  </oleObjects>
</worksheet>
</file>

<file path=xl/worksheets/sheet31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10.140625" style="2" customWidth="1"/>
    <col min="4" max="4" width="6.28125" style="2" customWidth="1"/>
    <col min="5" max="5" width="5.421875" style="2" customWidth="1"/>
    <col min="6" max="6" width="5.7109375" style="2" customWidth="1"/>
    <col min="7" max="14" width="6.28125" style="2" customWidth="1"/>
    <col min="15" max="16" width="5.710937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7.7109375" style="2" customWidth="1"/>
    <col min="23" max="23" width="6.8515625" style="2" customWidth="1"/>
    <col min="24" max="16384" width="9.140625" style="2" customWidth="1"/>
  </cols>
  <sheetData>
    <row r="1" ht="4.5" customHeight="1">
      <c r="H1" s="35"/>
    </row>
    <row r="2" spans="3:15" ht="21.75" customHeight="1">
      <c r="C2" s="878"/>
      <c r="D2" s="879"/>
      <c r="E2" s="879"/>
      <c r="F2" s="880"/>
      <c r="G2" s="861" t="str">
        <f>'BASE '!G2</f>
        <v>PROJETO  DE  DRENAGEM</v>
      </c>
      <c r="H2" s="862"/>
      <c r="I2" s="862"/>
      <c r="J2" s="862"/>
      <c r="K2" s="862"/>
      <c r="L2" s="862"/>
      <c r="M2" s="862"/>
      <c r="N2" s="862"/>
      <c r="O2" s="863"/>
    </row>
    <row r="3" spans="3:15" ht="21.75" customHeight="1">
      <c r="C3" s="881"/>
      <c r="D3" s="882"/>
      <c r="E3" s="882"/>
      <c r="F3" s="883"/>
      <c r="G3" s="864" t="str">
        <f>'BASE '!G3</f>
        <v>Aeroporto de Diamantina</v>
      </c>
      <c r="H3" s="865"/>
      <c r="I3" s="865"/>
      <c r="J3" s="865"/>
      <c r="K3" s="865"/>
      <c r="L3" s="865"/>
      <c r="M3" s="865"/>
      <c r="N3" s="865"/>
      <c r="O3" s="866"/>
    </row>
    <row r="4" spans="3:18" ht="21.75" customHeight="1">
      <c r="C4" s="881"/>
      <c r="D4" s="882"/>
      <c r="E4" s="882"/>
      <c r="F4" s="883"/>
      <c r="G4" s="864" t="str">
        <f>'BASE '!G4</f>
        <v>A</v>
      </c>
      <c r="H4" s="865"/>
      <c r="I4" s="865"/>
      <c r="J4" s="865"/>
      <c r="K4" s="865"/>
      <c r="L4" s="865"/>
      <c r="M4" s="865"/>
      <c r="N4" s="865"/>
      <c r="O4" s="866"/>
      <c r="Q4" s="809"/>
      <c r="R4" s="809"/>
    </row>
    <row r="5" spans="3:15" ht="21.75" customHeight="1">
      <c r="C5" s="884"/>
      <c r="D5" s="885"/>
      <c r="E5" s="885"/>
      <c r="F5" s="886"/>
      <c r="G5" s="908" t="str">
        <f>'BASE '!G5</f>
        <v>B</v>
      </c>
      <c r="H5" s="909"/>
      <c r="I5" s="909"/>
      <c r="J5" s="909"/>
      <c r="K5" s="909"/>
      <c r="L5" s="909"/>
      <c r="M5" s="909"/>
      <c r="N5" s="909"/>
      <c r="O5" s="910"/>
    </row>
    <row r="6" spans="3:15" ht="19.5" customHeight="1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</row>
    <row r="7" spans="2:16" s="75" customFormat="1" ht="21" customHeight="1">
      <c r="B7" s="74"/>
      <c r="C7" s="86"/>
      <c r="D7" s="828" t="s">
        <v>49</v>
      </c>
      <c r="E7" s="828"/>
      <c r="F7" s="828"/>
      <c r="G7" s="828"/>
      <c r="H7" s="828"/>
      <c r="I7" s="828"/>
      <c r="J7" s="828"/>
      <c r="K7" s="828"/>
      <c r="L7" s="828"/>
      <c r="M7" s="828"/>
      <c r="N7" s="104"/>
      <c r="O7" s="90"/>
      <c r="P7" s="76"/>
    </row>
    <row r="8" spans="2:16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05"/>
      <c r="O8" s="90"/>
      <c r="P8" s="76"/>
    </row>
    <row r="9" spans="3:15" ht="19.5" customHeight="1">
      <c r="C9" s="82"/>
      <c r="D9" s="5"/>
      <c r="E9" s="122"/>
      <c r="F9" s="5"/>
      <c r="G9" s="5"/>
      <c r="H9" s="5"/>
      <c r="I9" s="5"/>
      <c r="J9" s="5"/>
      <c r="K9" s="5"/>
      <c r="L9" s="5"/>
      <c r="M9" s="5"/>
      <c r="N9" s="5"/>
      <c r="O9" s="83"/>
    </row>
    <row r="10" spans="3:15" ht="12.75">
      <c r="C10" s="82"/>
      <c r="D10" s="888" t="s">
        <v>176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</row>
    <row r="11" spans="3:15" ht="12.75">
      <c r="C11" s="82"/>
      <c r="M11" s="5"/>
      <c r="N11" s="5"/>
      <c r="O11" s="83"/>
    </row>
    <row r="12" spans="3:15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</row>
    <row r="13" spans="3:15" ht="19.5" customHeight="1">
      <c r="C13" s="87"/>
      <c r="D13" s="13"/>
      <c r="E13" s="13"/>
      <c r="F13" s="13"/>
      <c r="G13" s="13"/>
      <c r="H13" s="13"/>
      <c r="I13" s="13"/>
      <c r="O13" s="83"/>
    </row>
    <row r="14" spans="3:15" ht="15" customHeight="1">
      <c r="C14" s="87" t="s">
        <v>4</v>
      </c>
      <c r="D14" s="125">
        <v>0.0131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'BASE '!$L$14</f>
        <v>São Luís Ma</v>
      </c>
      <c r="M14" s="922"/>
      <c r="N14" s="922"/>
      <c r="O14" s="83"/>
    </row>
    <row r="15" spans="3:15" ht="15" customHeight="1">
      <c r="C15" s="87" t="s">
        <v>5</v>
      </c>
      <c r="D15" s="125">
        <v>0.5584</v>
      </c>
      <c r="E15" s="5" t="s">
        <v>7</v>
      </c>
      <c r="F15" s="8"/>
      <c r="G15" s="8"/>
      <c r="H15" s="8"/>
      <c r="I15" s="8"/>
      <c r="J15" s="6" t="s">
        <v>18</v>
      </c>
      <c r="K15" s="3">
        <f>'BASE '!K15</f>
        <v>10</v>
      </c>
      <c r="L15" s="5" t="s">
        <v>12</v>
      </c>
      <c r="M15" s="5"/>
      <c r="N15" s="5"/>
      <c r="O15" s="83"/>
    </row>
    <row r="16" spans="3:15" ht="15" customHeight="1">
      <c r="C16" s="87" t="s">
        <v>6</v>
      </c>
      <c r="D16" s="91">
        <f>D14/D15</f>
        <v>0.023459885386819486</v>
      </c>
      <c r="E16" s="8" t="s">
        <v>7</v>
      </c>
      <c r="F16" s="92">
        <f>POWER($D$16,2/3)</f>
        <v>0.08195030810238828</v>
      </c>
      <c r="G16" s="8"/>
      <c r="H16" s="8"/>
      <c r="I16" s="8"/>
      <c r="J16" s="6" t="s">
        <v>17</v>
      </c>
      <c r="K16" s="3">
        <f>'BASE '!K16</f>
        <v>10</v>
      </c>
      <c r="L16" s="5" t="s">
        <v>13</v>
      </c>
      <c r="M16" s="5"/>
      <c r="N16" s="5"/>
      <c r="O16" s="83"/>
    </row>
    <row r="17" spans="3:15" ht="15" customHeight="1" thickBot="1">
      <c r="C17" s="87" t="s">
        <v>9</v>
      </c>
      <c r="D17" s="91">
        <f>'BASE '!D17</f>
        <v>0.015</v>
      </c>
      <c r="E17" s="5"/>
      <c r="F17" s="5"/>
      <c r="G17" s="5"/>
      <c r="H17" s="5"/>
      <c r="I17" s="5"/>
      <c r="J17" s="6" t="s">
        <v>19</v>
      </c>
      <c r="K17" s="176">
        <f>'BASE '!K17</f>
        <v>126</v>
      </c>
      <c r="L17" s="8" t="s">
        <v>14</v>
      </c>
      <c r="M17" s="5"/>
      <c r="N17" s="5"/>
      <c r="O17" s="83"/>
    </row>
    <row r="18" spans="2:23" ht="18" customHeight="1">
      <c r="B18" s="60"/>
      <c r="C18" s="386" t="s">
        <v>97</v>
      </c>
      <c r="D18" s="387">
        <f>(D19*$D$14)</f>
        <v>0.005060758689278571</v>
      </c>
      <c r="E18" s="387">
        <f>(E19*$D$14)</f>
        <v>0.007156993574275244</v>
      </c>
      <c r="F18" s="387">
        <f>(F19*$D$14)</f>
        <v>0.008765491174676161</v>
      </c>
      <c r="G18" s="387">
        <f>(G19*$D$14)</f>
        <v>0.010121517378557142</v>
      </c>
      <c r="H18" s="387">
        <f aca="true" t="shared" si="0" ref="H18:O18">(H19*$D$14)</f>
        <v>0.011316200446949622</v>
      </c>
      <c r="I18" s="387">
        <f t="shared" si="0"/>
        <v>0.0123962765000887</v>
      </c>
      <c r="J18" s="387">
        <f t="shared" si="0"/>
        <v>0.013389508937140299</v>
      </c>
      <c r="K18" s="387">
        <f t="shared" si="0"/>
        <v>0.014313987148550488</v>
      </c>
      <c r="L18" s="387">
        <f t="shared" si="0"/>
        <v>0.015182276067835712</v>
      </c>
      <c r="M18" s="387">
        <f t="shared" si="0"/>
        <v>0.016003524146608633</v>
      </c>
      <c r="N18" s="387">
        <f t="shared" si="0"/>
        <v>0.017530982349352322</v>
      </c>
      <c r="O18" s="388">
        <f t="shared" si="0"/>
        <v>0.018935625132419576</v>
      </c>
      <c r="P18" s="13"/>
      <c r="Q18" s="39"/>
      <c r="R18" s="40"/>
      <c r="S18" s="40"/>
      <c r="T18" s="41"/>
      <c r="U18" s="42"/>
      <c r="V18" s="42"/>
      <c r="W18" s="43"/>
    </row>
    <row r="19" spans="2:23" ht="18" customHeight="1">
      <c r="B19" s="15"/>
      <c r="C19" s="389" t="s">
        <v>16</v>
      </c>
      <c r="D19" s="390">
        <f aca="true" t="shared" si="1" ref="D19:O19">($F$16/$D$17)*POWER(D22/100,1/2)</f>
        <v>0.38631745719683747</v>
      </c>
      <c r="E19" s="390">
        <f t="shared" si="1"/>
        <v>0.5463353873492552</v>
      </c>
      <c r="F19" s="390">
        <f t="shared" si="1"/>
        <v>0.6691214637157374</v>
      </c>
      <c r="G19" s="390">
        <f t="shared" si="1"/>
        <v>0.7726349143936749</v>
      </c>
      <c r="H19" s="390">
        <f t="shared" si="1"/>
        <v>0.863832095186994</v>
      </c>
      <c r="I19" s="390">
        <f t="shared" si="1"/>
        <v>0.9462806488617328</v>
      </c>
      <c r="J19" s="390">
        <f t="shared" si="1"/>
        <v>1.0220999188656716</v>
      </c>
      <c r="K19" s="390">
        <f t="shared" si="1"/>
        <v>1.0926707746985105</v>
      </c>
      <c r="L19" s="390">
        <f t="shared" si="1"/>
        <v>1.1589523715905123</v>
      </c>
      <c r="M19" s="390">
        <f t="shared" si="1"/>
        <v>1.2216430646266132</v>
      </c>
      <c r="N19" s="390">
        <f t="shared" si="1"/>
        <v>1.3382429274314749</v>
      </c>
      <c r="O19" s="391">
        <f t="shared" si="1"/>
        <v>1.445467567360273</v>
      </c>
      <c r="P19" s="19">
        <v>0.4</v>
      </c>
      <c r="Q19" s="44"/>
      <c r="R19" s="36"/>
      <c r="S19" s="36"/>
      <c r="T19" s="32"/>
      <c r="U19" s="4"/>
      <c r="V19" s="35"/>
      <c r="W19" s="50"/>
    </row>
    <row r="20" spans="2:23" ht="12.75">
      <c r="B20" s="22"/>
      <c r="C20" s="23"/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8"/>
      <c r="Q20" s="46" t="s">
        <v>10</v>
      </c>
      <c r="R20" s="124">
        <v>0.9</v>
      </c>
      <c r="S20" s="31"/>
      <c r="T20" s="38" t="s">
        <v>11</v>
      </c>
      <c r="U20" s="124">
        <v>6</v>
      </c>
      <c r="V20" s="5"/>
      <c r="W20" s="45"/>
    </row>
    <row r="21" spans="2:23" ht="12.75">
      <c r="B21" s="6"/>
      <c r="C21" s="938" t="s">
        <v>39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Q21" s="46" t="s">
        <v>10</v>
      </c>
      <c r="R21" s="124">
        <v>0.9</v>
      </c>
      <c r="S21" s="31"/>
      <c r="T21" s="38" t="s">
        <v>11</v>
      </c>
      <c r="U21" s="124">
        <v>12</v>
      </c>
      <c r="V21" s="5"/>
      <c r="W21" s="45"/>
    </row>
    <row r="22" spans="2:23" ht="12.75">
      <c r="B22" s="7"/>
      <c r="C22" s="938"/>
      <c r="D22" s="939">
        <v>0.5</v>
      </c>
      <c r="E22" s="975">
        <v>1</v>
      </c>
      <c r="F22" s="975">
        <v>1.5</v>
      </c>
      <c r="G22" s="975">
        <v>2</v>
      </c>
      <c r="H22" s="975">
        <v>2.5</v>
      </c>
      <c r="I22" s="975">
        <v>3</v>
      </c>
      <c r="J22" s="975">
        <v>3.5</v>
      </c>
      <c r="K22" s="975">
        <v>4</v>
      </c>
      <c r="L22" s="975">
        <v>4.5</v>
      </c>
      <c r="M22" s="975">
        <v>5</v>
      </c>
      <c r="N22" s="975">
        <v>6</v>
      </c>
      <c r="O22" s="973">
        <v>7</v>
      </c>
      <c r="Q22" s="47" t="s">
        <v>22</v>
      </c>
      <c r="R22" s="28" t="s">
        <v>21</v>
      </c>
      <c r="S22" s="28" t="s">
        <v>23</v>
      </c>
      <c r="T22" s="37"/>
      <c r="U22" s="18"/>
      <c r="V22" s="18"/>
      <c r="W22" s="48"/>
    </row>
    <row r="23" spans="2:23" ht="13.5" thickBot="1">
      <c r="B23" s="22"/>
      <c r="C23" s="25"/>
      <c r="D23" s="940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4"/>
      <c r="Q23" s="113">
        <f>($D$14*$F$16)/$D$17</f>
        <v>0.07156993574275243</v>
      </c>
      <c r="R23" s="30"/>
      <c r="S23" s="26"/>
      <c r="T23" s="114"/>
      <c r="U23" s="3"/>
      <c r="V23" s="3"/>
      <c r="W23" s="115"/>
    </row>
    <row r="24" spans="2:23" ht="21" customHeight="1">
      <c r="B24" s="22"/>
      <c r="C24" s="941" t="s">
        <v>40</v>
      </c>
      <c r="D24" s="943">
        <f aca="true" t="shared" si="2" ref="D24:O24">(($Q$23/$R$24)/10)*SQRT(D22)</f>
        <v>26.75509692393477</v>
      </c>
      <c r="E24" s="945">
        <f t="shared" si="2"/>
        <v>37.83742093243522</v>
      </c>
      <c r="F24" s="945">
        <f t="shared" si="2"/>
        <v>46.34118723368479</v>
      </c>
      <c r="G24" s="945">
        <f t="shared" si="2"/>
        <v>53.51019384786954</v>
      </c>
      <c r="H24" s="945">
        <f t="shared" si="2"/>
        <v>59.82621546651366</v>
      </c>
      <c r="I24" s="945">
        <f t="shared" si="2"/>
        <v>65.53633548234797</v>
      </c>
      <c r="J24" s="945">
        <f t="shared" si="2"/>
        <v>70.7873327641606</v>
      </c>
      <c r="K24" s="945">
        <f t="shared" si="2"/>
        <v>75.67484186487044</v>
      </c>
      <c r="L24" s="945">
        <f t="shared" si="2"/>
        <v>80.26529077180429</v>
      </c>
      <c r="M24" s="945">
        <f t="shared" si="2"/>
        <v>84.60704529819864</v>
      </c>
      <c r="N24" s="945">
        <f t="shared" si="2"/>
        <v>92.68237446736958</v>
      </c>
      <c r="O24" s="947">
        <f t="shared" si="2"/>
        <v>100.10840603929327</v>
      </c>
      <c r="Q24" s="280"/>
      <c r="R24" s="108">
        <f>((0.278*$K$17*POWER(10,-6)*(($R$20*$U$20))))</f>
        <v>0.00018915120000000005</v>
      </c>
      <c r="S24" s="109">
        <f>($Q$23/R24)/10</f>
        <v>37.83742093243522</v>
      </c>
      <c r="T24" s="107"/>
      <c r="U24" s="110"/>
      <c r="V24" s="384"/>
      <c r="W24" s="281"/>
    </row>
    <row r="25" spans="2:23" ht="21" customHeight="1" thickBot="1">
      <c r="B25" s="22"/>
      <c r="C25" s="942"/>
      <c r="D25" s="944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8"/>
      <c r="Q25" s="53"/>
      <c r="R25" s="54">
        <f>((0.278*$K$17*POWER(10,-6)*(($R$21*$U$21))))</f>
        <v>0.0003783024000000001</v>
      </c>
      <c r="S25" s="55">
        <f>($Q$23/R25)/10</f>
        <v>18.91871046621761</v>
      </c>
      <c r="T25" s="56"/>
      <c r="U25" s="57"/>
      <c r="V25" s="58"/>
      <c r="W25" s="59"/>
    </row>
    <row r="26" spans="3:15" ht="21" customHeight="1">
      <c r="C26" s="949" t="s">
        <v>41</v>
      </c>
      <c r="D26" s="943">
        <f aca="true" t="shared" si="3" ref="D26:O26">(($Q$23/$R$25)/10)*SQRT(D22)</f>
        <v>13.377548461967384</v>
      </c>
      <c r="E26" s="945">
        <f t="shared" si="3"/>
        <v>18.91871046621761</v>
      </c>
      <c r="F26" s="945">
        <f t="shared" si="3"/>
        <v>23.170593616842396</v>
      </c>
      <c r="G26" s="945">
        <f t="shared" si="3"/>
        <v>26.75509692393477</v>
      </c>
      <c r="H26" s="945">
        <f t="shared" si="3"/>
        <v>29.91310773325683</v>
      </c>
      <c r="I26" s="945">
        <f t="shared" si="3"/>
        <v>32.76816774117398</v>
      </c>
      <c r="J26" s="945">
        <f t="shared" si="3"/>
        <v>35.3936663820803</v>
      </c>
      <c r="K26" s="945">
        <f t="shared" si="3"/>
        <v>37.83742093243522</v>
      </c>
      <c r="L26" s="945">
        <f t="shared" si="3"/>
        <v>40.132645385902144</v>
      </c>
      <c r="M26" s="945">
        <f t="shared" si="3"/>
        <v>42.30352264909932</v>
      </c>
      <c r="N26" s="945">
        <f t="shared" si="3"/>
        <v>46.34118723368479</v>
      </c>
      <c r="O26" s="947">
        <f t="shared" si="3"/>
        <v>50.054203019646636</v>
      </c>
    </row>
    <row r="27" spans="3:15" ht="18" customHeight="1">
      <c r="C27" s="950"/>
      <c r="D27" s="944"/>
      <c r="E27" s="946"/>
      <c r="F27" s="946"/>
      <c r="G27" s="946"/>
      <c r="H27" s="946"/>
      <c r="I27" s="946"/>
      <c r="J27" s="946"/>
      <c r="K27" s="946"/>
      <c r="L27" s="946"/>
      <c r="M27" s="946"/>
      <c r="N27" s="946"/>
      <c r="O27" s="948"/>
    </row>
    <row r="28" spans="3:15" ht="13.5" customHeight="1">
      <c r="C28" s="111"/>
      <c r="O28" s="112"/>
    </row>
    <row r="29" spans="3:15" ht="18" customHeight="1">
      <c r="C29" s="111"/>
      <c r="O29" s="112"/>
    </row>
    <row r="30" spans="3:15" ht="18" customHeight="1">
      <c r="C30" s="111"/>
      <c r="O30" s="112"/>
    </row>
    <row r="31" spans="3:15" ht="18" customHeight="1">
      <c r="C31" s="111"/>
      <c r="O31" s="112"/>
    </row>
    <row r="32" spans="3:15" ht="15" customHeight="1">
      <c r="C32" s="111"/>
      <c r="O32" s="112"/>
    </row>
    <row r="33" spans="2:15" ht="18" customHeight="1">
      <c r="B33" s="21"/>
      <c r="C33" s="8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3"/>
    </row>
    <row r="34" spans="3:15" ht="18" customHeight="1">
      <c r="C34" s="82"/>
      <c r="D34" s="6" t="s">
        <v>31</v>
      </c>
      <c r="E34" s="920">
        <f>Q39</f>
        <v>204.32207303515023</v>
      </c>
      <c r="F34" s="920"/>
      <c r="G34" s="3" t="s">
        <v>33</v>
      </c>
      <c r="H34" s="183" t="s">
        <v>98</v>
      </c>
      <c r="I34" s="5" t="s">
        <v>42</v>
      </c>
      <c r="J34" s="5"/>
      <c r="K34" s="5"/>
      <c r="L34" s="5"/>
      <c r="M34" s="5"/>
      <c r="N34" s="5"/>
      <c r="O34" s="83"/>
    </row>
    <row r="35" spans="3:21" ht="15" customHeight="1">
      <c r="C35" s="82"/>
      <c r="D35" s="5"/>
      <c r="E35" s="5"/>
      <c r="F35" s="5"/>
      <c r="G35" s="5"/>
      <c r="I35" s="5"/>
      <c r="J35" s="5"/>
      <c r="K35" s="5"/>
      <c r="L35" s="5"/>
      <c r="M35" s="5"/>
      <c r="N35" s="5"/>
      <c r="O35" s="83"/>
      <c r="T35" s="1"/>
      <c r="U35" s="1"/>
    </row>
    <row r="36" spans="3:21" ht="15" customHeight="1">
      <c r="C36" s="8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3"/>
      <c r="T36" s="1"/>
      <c r="U36" s="1"/>
    </row>
    <row r="37" spans="3:21" ht="15" customHeight="1">
      <c r="C37" s="82"/>
      <c r="D37" s="6" t="s">
        <v>31</v>
      </c>
      <c r="E37" s="5" t="s">
        <v>25</v>
      </c>
      <c r="F37" s="5"/>
      <c r="G37" s="5"/>
      <c r="H37" s="5"/>
      <c r="I37" s="5"/>
      <c r="J37" s="5"/>
      <c r="K37" s="5"/>
      <c r="L37" s="5"/>
      <c r="M37" s="5"/>
      <c r="N37" s="5"/>
      <c r="O37" s="83"/>
      <c r="Q37" s="97">
        <f>Q23</f>
        <v>0.07156993574275243</v>
      </c>
      <c r="T37" s="1"/>
      <c r="U37" s="1"/>
    </row>
    <row r="38" spans="3:21" ht="15" customHeight="1">
      <c r="C38" s="82"/>
      <c r="D38" s="6" t="s">
        <v>32</v>
      </c>
      <c r="E38" s="5" t="s">
        <v>26</v>
      </c>
      <c r="F38" s="5"/>
      <c r="G38" s="5"/>
      <c r="H38" s="5"/>
      <c r="I38" s="5"/>
      <c r="J38" s="5"/>
      <c r="K38" s="5"/>
      <c r="L38" s="5"/>
      <c r="M38" s="5"/>
      <c r="N38" s="5"/>
      <c r="O38" s="83"/>
      <c r="Q38" s="98">
        <f>((0.278*$K$17*POWER(10,-6)))</f>
        <v>3.5028000000000004E-05</v>
      </c>
      <c r="T38" s="1"/>
      <c r="U38" s="1"/>
    </row>
    <row r="39" spans="3:21" ht="15" customHeight="1">
      <c r="C39" s="82"/>
      <c r="D39" s="6" t="s">
        <v>29</v>
      </c>
      <c r="E39" s="5" t="s">
        <v>172</v>
      </c>
      <c r="F39" s="5"/>
      <c r="G39" s="5"/>
      <c r="H39" s="5"/>
      <c r="I39" s="5"/>
      <c r="J39" s="5"/>
      <c r="K39" s="5"/>
      <c r="L39" s="118">
        <f>U20</f>
        <v>6</v>
      </c>
      <c r="M39" s="5"/>
      <c r="N39" s="5"/>
      <c r="O39" s="83"/>
      <c r="Q39" s="102">
        <f>(Q37/Q38)/10</f>
        <v>204.32207303515023</v>
      </c>
      <c r="T39" s="1"/>
      <c r="U39" s="1"/>
    </row>
    <row r="40" spans="3:21" ht="15" customHeight="1">
      <c r="C40" s="82"/>
      <c r="D40" s="6" t="s">
        <v>29</v>
      </c>
      <c r="E40" s="5" t="s">
        <v>173</v>
      </c>
      <c r="F40" s="5"/>
      <c r="G40" s="5"/>
      <c r="H40" s="5"/>
      <c r="I40" s="5"/>
      <c r="J40" s="5"/>
      <c r="K40" s="5"/>
      <c r="L40" s="118">
        <f>U21</f>
        <v>12</v>
      </c>
      <c r="M40" s="5"/>
      <c r="N40" s="5"/>
      <c r="O40" s="83"/>
      <c r="Q40" s="99"/>
      <c r="T40" s="1"/>
      <c r="U40" s="1"/>
    </row>
    <row r="41" spans="3:21" ht="15" customHeight="1">
      <c r="C41" s="82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83"/>
      <c r="Q41" s="100"/>
      <c r="T41" s="1"/>
      <c r="U41" s="1"/>
    </row>
    <row r="42" spans="3:21" ht="9.75" customHeight="1">
      <c r="C42" s="82"/>
      <c r="D42" s="6"/>
      <c r="E42" s="5"/>
      <c r="F42" s="5"/>
      <c r="G42" s="5"/>
      <c r="H42" s="5"/>
      <c r="I42" s="5"/>
      <c r="J42" s="5"/>
      <c r="K42" s="5"/>
      <c r="L42" s="96"/>
      <c r="M42" s="5"/>
      <c r="N42" s="5"/>
      <c r="O42" s="83"/>
      <c r="R42" s="101"/>
      <c r="T42" s="1"/>
      <c r="U42" s="1"/>
    </row>
    <row r="43" spans="3:21" ht="19.5" customHeight="1">
      <c r="C43" s="952"/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4"/>
      <c r="T43" s="1"/>
      <c r="U43" s="1"/>
    </row>
    <row r="44" spans="20:21" s="5" customFormat="1" ht="15" customHeight="1">
      <c r="T44" s="3"/>
      <c r="U44" s="3"/>
    </row>
    <row r="45" ht="12.75">
      <c r="H45" s="5"/>
    </row>
  </sheetData>
  <sheetProtection/>
  <mergeCells count="54">
    <mergeCell ref="Q4:R4"/>
    <mergeCell ref="O22:O23"/>
    <mergeCell ref="J24:J25"/>
    <mergeCell ref="K24:K25"/>
    <mergeCell ref="L24:L25"/>
    <mergeCell ref="D7:M7"/>
    <mergeCell ref="C2:F5"/>
    <mergeCell ref="C24:C25"/>
    <mergeCell ref="G2:O2"/>
    <mergeCell ref="G4:O4"/>
    <mergeCell ref="G5:O5"/>
    <mergeCell ref="F22:F23"/>
    <mergeCell ref="G22:G23"/>
    <mergeCell ref="I22:I23"/>
    <mergeCell ref="D10:M10"/>
    <mergeCell ref="D12:M12"/>
    <mergeCell ref="M22:M23"/>
    <mergeCell ref="N22:N23"/>
    <mergeCell ref="G3:O3"/>
    <mergeCell ref="J14:K14"/>
    <mergeCell ref="E34:F34"/>
    <mergeCell ref="L14:N14"/>
    <mergeCell ref="M24:M25"/>
    <mergeCell ref="N24:N25"/>
    <mergeCell ref="E22:E23"/>
    <mergeCell ref="D8:M8"/>
    <mergeCell ref="K22:K23"/>
    <mergeCell ref="L22:L23"/>
    <mergeCell ref="C21:C22"/>
    <mergeCell ref="D24:D25"/>
    <mergeCell ref="E24:E25"/>
    <mergeCell ref="D20:O21"/>
    <mergeCell ref="H22:H23"/>
    <mergeCell ref="H24:H25"/>
    <mergeCell ref="J22:J23"/>
    <mergeCell ref="D22:D23"/>
    <mergeCell ref="O24:O25"/>
    <mergeCell ref="I24:I25"/>
    <mergeCell ref="C26:C27"/>
    <mergeCell ref="D26:D27"/>
    <mergeCell ref="G26:G27"/>
    <mergeCell ref="H26:H27"/>
    <mergeCell ref="E26:E27"/>
    <mergeCell ref="F26:F27"/>
    <mergeCell ref="I26:I27"/>
    <mergeCell ref="J26:J27"/>
    <mergeCell ref="F24:F25"/>
    <mergeCell ref="G24:G25"/>
    <mergeCell ref="O26:O27"/>
    <mergeCell ref="C43:O43"/>
    <mergeCell ref="K26:K27"/>
    <mergeCell ref="L26:L27"/>
    <mergeCell ref="M26:M27"/>
    <mergeCell ref="N26:N27"/>
  </mergeCells>
  <printOptions/>
  <pageMargins left="1.1811023622047245" right="0.5905511811023623" top="1.1811023622047245" bottom="0.8661417322834646" header="0.4921259842519685" footer="0.4921259842519685"/>
  <pageSetup horizontalDpi="300" verticalDpi="300" orientation="portrait" paperSize="9" r:id="rId3"/>
  <legacyDrawing r:id="rId2"/>
  <oleObjects>
    <oleObject progId="Equation.3" shapeId="927706" r:id="rId1"/>
  </oleObjects>
</worksheet>
</file>

<file path=xl/worksheets/sheet32.xml><?xml version="1.0" encoding="utf-8"?>
<worksheet xmlns="http://schemas.openxmlformats.org/spreadsheetml/2006/main" xmlns:r="http://schemas.openxmlformats.org/officeDocument/2006/relationships">
  <dimension ref="B1:W44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6.851562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'BASE '!G3</f>
        <v>Aeroporto de Diamantina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'BASE '!G4</f>
        <v>A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08" t="str">
        <f>'BASE '!G5</f>
        <v>B</v>
      </c>
      <c r="H5" s="909"/>
      <c r="I5" s="909"/>
      <c r="J5" s="909"/>
      <c r="K5" s="909"/>
      <c r="L5" s="909"/>
      <c r="M5" s="909"/>
      <c r="N5" s="909"/>
      <c r="O5" s="910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27" t="s">
        <v>179</v>
      </c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9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99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0.07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'BASE '!$L$14</f>
        <v>São Luís Ma</v>
      </c>
      <c r="M14" s="922"/>
      <c r="N14" s="922"/>
      <c r="O14" s="83"/>
      <c r="P14" s="299"/>
    </row>
    <row r="15" spans="3:16" ht="15" customHeight="1" thickBot="1">
      <c r="C15" s="87" t="s">
        <v>5</v>
      </c>
      <c r="D15" s="125">
        <v>0.821</v>
      </c>
      <c r="E15" s="5" t="s">
        <v>7</v>
      </c>
      <c r="F15" s="8"/>
      <c r="G15" s="8"/>
      <c r="H15" s="8"/>
      <c r="I15" s="8"/>
      <c r="J15" s="6" t="s">
        <v>18</v>
      </c>
      <c r="K15" s="215">
        <f>'BASE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0.08526187576126676</v>
      </c>
      <c r="E16" s="8" t="s">
        <v>7</v>
      </c>
      <c r="F16" s="92">
        <f>POWER($D$16,2/3)</f>
        <v>0.1937179756065632</v>
      </c>
      <c r="G16" s="8"/>
      <c r="H16" s="8"/>
      <c r="I16" s="8"/>
      <c r="J16" s="6" t="s">
        <v>17</v>
      </c>
      <c r="K16" s="215">
        <f>'BASE '!K16</f>
        <v>10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'BASE '!$D$17</f>
        <v>0.015</v>
      </c>
      <c r="E17" s="5"/>
      <c r="F17" s="5"/>
      <c r="G17" s="5"/>
      <c r="H17" s="5"/>
      <c r="I17" s="5"/>
      <c r="J17" s="6" t="s">
        <v>19</v>
      </c>
      <c r="K17" s="307">
        <f>'BASE '!K17</f>
        <v>126</v>
      </c>
      <c r="L17" s="8" t="s">
        <v>14</v>
      </c>
      <c r="M17" s="5"/>
      <c r="N17" s="5"/>
      <c r="O17" s="83"/>
      <c r="P17" s="299"/>
      <c r="Q17" s="308">
        <f>R17/S17</f>
        <v>1.5</v>
      </c>
      <c r="R17" s="309">
        <v>3</v>
      </c>
      <c r="S17" s="309">
        <v>2</v>
      </c>
      <c r="T17" s="32"/>
      <c r="U17" s="4"/>
      <c r="V17" s="35"/>
      <c r="W17" s="50"/>
    </row>
    <row r="18" spans="2:23" ht="12.75">
      <c r="B18" s="60"/>
      <c r="C18" s="184" t="s">
        <v>97</v>
      </c>
      <c r="D18" s="186">
        <f aca="true" t="shared" si="0" ref="D18:O18">D19*$D$14</f>
        <v>0.04520086097486476</v>
      </c>
      <c r="E18" s="186">
        <f t="shared" si="0"/>
        <v>0.06392367062159449</v>
      </c>
      <c r="F18" s="186">
        <f t="shared" si="0"/>
        <v>0.09040172194972952</v>
      </c>
      <c r="G18" s="186">
        <f t="shared" si="0"/>
        <v>0.11071904532289965</v>
      </c>
      <c r="H18" s="186">
        <f t="shared" si="0"/>
        <v>0.12784734124318897</v>
      </c>
      <c r="I18" s="186">
        <f t="shared" si="0"/>
        <v>0.14293767288119152</v>
      </c>
      <c r="J18" s="186">
        <f t="shared" si="0"/>
        <v>0.1565803755086461</v>
      </c>
      <c r="K18" s="186">
        <f t="shared" si="0"/>
        <v>0.16912613535514467</v>
      </c>
      <c r="L18" s="186">
        <f t="shared" si="0"/>
        <v>0.18080344389945904</v>
      </c>
      <c r="M18" s="186">
        <f t="shared" si="0"/>
        <v>0.20214439556262997</v>
      </c>
      <c r="N18" s="186">
        <f t="shared" si="0"/>
        <v>0.2214380906457993</v>
      </c>
      <c r="O18" s="187">
        <f t="shared" si="0"/>
        <v>0.23918047437099343</v>
      </c>
      <c r="P18" s="310"/>
      <c r="Q18" s="274" t="s">
        <v>255</v>
      </c>
      <c r="R18" s="497">
        <v>0.65</v>
      </c>
      <c r="S18" s="498"/>
      <c r="T18" s="499" t="s">
        <v>100</v>
      </c>
      <c r="U18" s="497">
        <v>4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0.6457265853552108</v>
      </c>
      <c r="E19" s="188">
        <f t="shared" si="1"/>
        <v>0.9131952945942069</v>
      </c>
      <c r="F19" s="188">
        <f t="shared" si="1"/>
        <v>1.2914531707104215</v>
      </c>
      <c r="G19" s="188">
        <f t="shared" si="1"/>
        <v>1.5817006474699948</v>
      </c>
      <c r="H19" s="188">
        <f t="shared" si="1"/>
        <v>1.8263905891884138</v>
      </c>
      <c r="I19" s="188">
        <f t="shared" si="1"/>
        <v>2.041966755445593</v>
      </c>
      <c r="J19" s="188">
        <f t="shared" si="1"/>
        <v>2.2368625072663724</v>
      </c>
      <c r="K19" s="188">
        <f t="shared" si="1"/>
        <v>2.416087647930638</v>
      </c>
      <c r="L19" s="188">
        <f t="shared" si="1"/>
        <v>2.582906341420843</v>
      </c>
      <c r="M19" s="188">
        <f t="shared" si="1"/>
        <v>2.8877770794661424</v>
      </c>
      <c r="N19" s="188">
        <f t="shared" si="1"/>
        <v>3.1634012949399897</v>
      </c>
      <c r="O19" s="189">
        <f t="shared" si="1"/>
        <v>3.4168639195856203</v>
      </c>
      <c r="P19" s="312">
        <v>0.4</v>
      </c>
      <c r="Q19" s="274" t="s">
        <v>256</v>
      </c>
      <c r="R19" s="497">
        <v>0.65</v>
      </c>
      <c r="S19" s="498"/>
      <c r="T19" s="499" t="s">
        <v>43</v>
      </c>
      <c r="U19" s="500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/>
      <c r="R20" s="311"/>
      <c r="S20" s="31"/>
      <c r="T20" s="38"/>
      <c r="U20" s="311"/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153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0.9040172194972951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360.9568766554368</v>
      </c>
      <c r="E24" s="65">
        <f aca="true" t="shared" si="3" ref="E24:E33">(($Q$23/R24)/10)*SQRT($E$22)</f>
        <v>510.4701103979512</v>
      </c>
      <c r="F24" s="65">
        <f aca="true" t="shared" si="4" ref="F24:F33">(($Q$23/R24)/10)*SQRT($F$22)</f>
        <v>721.9137533108736</v>
      </c>
      <c r="G24" s="65">
        <f aca="true" t="shared" si="5" ref="G24:G33">(($Q$23/R24)/10)*SQRT($G$22)</f>
        <v>884.1601669545452</v>
      </c>
      <c r="H24" s="65">
        <f aca="true" t="shared" si="6" ref="H24:H33">(($Q$23/R24)/10)*SQRT($H$22)</f>
        <v>1020.9402207959024</v>
      </c>
      <c r="I24" s="65">
        <f aca="true" t="shared" si="7" ref="I24:I33">(($Q$23/R24)/10)*SQRT($I$22)</f>
        <v>1141.445867331641</v>
      </c>
      <c r="J24" s="65">
        <f aca="true" t="shared" si="8" ref="J24:J33">(($Q$23/R24)/10)*SQRT($J$22)</f>
        <v>1250.3912994171778</v>
      </c>
      <c r="K24" s="65">
        <f aca="true" t="shared" si="9" ref="K24:K33">(($Q$23/R24)/10)*SQRT($K$22)</f>
        <v>1350.5769638446657</v>
      </c>
      <c r="L24" s="65">
        <f aca="true" t="shared" si="10" ref="L24:L33">(($Q$23/R24)/10)*SQRT($L$22)</f>
        <v>1443.8275066217473</v>
      </c>
      <c r="M24" s="65">
        <f aca="true" t="shared" si="11" ref="M24:M33">(($Q$23/R24)/10)*SQRT($M$22)</f>
        <v>1614.2482262951273</v>
      </c>
      <c r="N24" s="65">
        <f aca="true" t="shared" si="12" ref="N24:N33">(($Q$23/R24)/10)*SQRT($N$22)</f>
        <v>1768.3203339090903</v>
      </c>
      <c r="O24" s="66">
        <f aca="true" t="shared" si="13" ref="O24:O33">(($Q$23/R24)/10)*SQRT($O$22)</f>
        <v>1910.0042592978034</v>
      </c>
      <c r="P24" s="299"/>
      <c r="Q24" s="51"/>
      <c r="R24" s="29">
        <f aca="true" t="shared" si="14" ref="R24:R33">((0.278*$K$17*POWER(10,-6)*(($R$18*$U$18)+($R$19*W24)+($R$20*$U$20))))</f>
        <v>0.00012522510000000003</v>
      </c>
      <c r="S24" s="165">
        <f aca="true" t="shared" si="15" ref="S24:S33">($Q$23/R24)/10</f>
        <v>721.9137533108736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1.5</v>
      </c>
    </row>
    <row r="25" spans="2:23" ht="18" customHeight="1">
      <c r="B25" s="15"/>
      <c r="C25" s="62">
        <v>2</v>
      </c>
      <c r="D25" s="72">
        <f t="shared" si="2"/>
        <v>283.6089745149861</v>
      </c>
      <c r="E25" s="67">
        <f t="shared" si="3"/>
        <v>401.0836581698188</v>
      </c>
      <c r="F25" s="67">
        <f t="shared" si="4"/>
        <v>567.2179490299721</v>
      </c>
      <c r="G25" s="67">
        <f t="shared" si="5"/>
        <v>694.697274035714</v>
      </c>
      <c r="H25" s="67">
        <f t="shared" si="6"/>
        <v>802.1673163396376</v>
      </c>
      <c r="I25" s="67">
        <f t="shared" si="7"/>
        <v>896.8503243320038</v>
      </c>
      <c r="J25" s="67">
        <f t="shared" si="8"/>
        <v>982.4503066849255</v>
      </c>
      <c r="K25" s="67">
        <f t="shared" si="9"/>
        <v>1061.1676144493802</v>
      </c>
      <c r="L25" s="67">
        <f t="shared" si="10"/>
        <v>1134.4358980599443</v>
      </c>
      <c r="M25" s="67">
        <f t="shared" si="11"/>
        <v>1268.3378920890286</v>
      </c>
      <c r="N25" s="67">
        <f t="shared" si="12"/>
        <v>1389.394548071428</v>
      </c>
      <c r="O25" s="68">
        <f t="shared" si="13"/>
        <v>1500.717632305417</v>
      </c>
      <c r="P25" s="299"/>
      <c r="Q25" s="51"/>
      <c r="R25" s="30">
        <f t="shared" si="14"/>
        <v>0.00015937740000000004</v>
      </c>
      <c r="S25" s="78">
        <f t="shared" si="15"/>
        <v>567.2179490299721</v>
      </c>
      <c r="T25" s="3"/>
      <c r="U25" s="10"/>
      <c r="V25" s="323">
        <f t="shared" si="16"/>
        <v>2</v>
      </c>
      <c r="W25" s="324">
        <f t="shared" si="17"/>
        <v>3</v>
      </c>
    </row>
    <row r="26" spans="2:23" ht="18" customHeight="1">
      <c r="B26" s="14"/>
      <c r="C26" s="61">
        <v>2.5</v>
      </c>
      <c r="D26" s="72">
        <f t="shared" si="2"/>
        <v>256.1629447232133</v>
      </c>
      <c r="E26" s="67">
        <f t="shared" si="3"/>
        <v>362.2691106049977</v>
      </c>
      <c r="F26" s="67">
        <f t="shared" si="4"/>
        <v>512.3258894464266</v>
      </c>
      <c r="G26" s="67">
        <f t="shared" si="5"/>
        <v>627.4685055806451</v>
      </c>
      <c r="H26" s="67">
        <f t="shared" si="6"/>
        <v>724.5382212099954</v>
      </c>
      <c r="I26" s="67">
        <f t="shared" si="7"/>
        <v>810.0583574611649</v>
      </c>
      <c r="J26" s="67">
        <f t="shared" si="8"/>
        <v>887.3744705541264</v>
      </c>
      <c r="K26" s="67">
        <f t="shared" si="9"/>
        <v>958.4739743413758</v>
      </c>
      <c r="L26" s="67">
        <f t="shared" si="10"/>
        <v>1024.6517788928531</v>
      </c>
      <c r="M26" s="67">
        <f t="shared" si="11"/>
        <v>1145.595515435252</v>
      </c>
      <c r="N26" s="67">
        <f t="shared" si="12"/>
        <v>1254.9370111612902</v>
      </c>
      <c r="O26" s="68">
        <f t="shared" si="13"/>
        <v>1355.4868936952157</v>
      </c>
      <c r="P26" s="299"/>
      <c r="Q26" s="51"/>
      <c r="R26" s="30">
        <f t="shared" si="14"/>
        <v>0.00017645355</v>
      </c>
      <c r="S26" s="78">
        <f t="shared" si="15"/>
        <v>512.3258894464266</v>
      </c>
      <c r="T26" s="3"/>
      <c r="U26" s="10"/>
      <c r="V26" s="323">
        <f t="shared" si="16"/>
        <v>2.5</v>
      </c>
      <c r="W26" s="324">
        <f t="shared" si="17"/>
        <v>3.75</v>
      </c>
    </row>
    <row r="27" spans="3:23" ht="18" customHeight="1">
      <c r="C27" s="61">
        <v>3</v>
      </c>
      <c r="D27" s="72">
        <f t="shared" si="2"/>
        <v>233.56033195351796</v>
      </c>
      <c r="E27" s="67">
        <f t="shared" si="3"/>
        <v>330.3041890810273</v>
      </c>
      <c r="F27" s="67">
        <f t="shared" si="4"/>
        <v>467.1206639070359</v>
      </c>
      <c r="G27" s="67">
        <f t="shared" si="5"/>
        <v>572.1036374411764</v>
      </c>
      <c r="H27" s="67">
        <f t="shared" si="6"/>
        <v>660.6083781620546</v>
      </c>
      <c r="I27" s="67">
        <f t="shared" si="7"/>
        <v>738.5826200381208</v>
      </c>
      <c r="J27" s="67">
        <f t="shared" si="8"/>
        <v>809.0767231522916</v>
      </c>
      <c r="K27" s="67">
        <f t="shared" si="9"/>
        <v>873.9027413112543</v>
      </c>
      <c r="L27" s="67">
        <f t="shared" si="10"/>
        <v>934.2413278140718</v>
      </c>
      <c r="M27" s="67">
        <f t="shared" si="11"/>
        <v>1044.5135581909649</v>
      </c>
      <c r="N27" s="67">
        <f t="shared" si="12"/>
        <v>1144.2072748823527</v>
      </c>
      <c r="O27" s="68">
        <f t="shared" si="13"/>
        <v>1235.8851089574023</v>
      </c>
      <c r="P27" s="299"/>
      <c r="Q27" s="51"/>
      <c r="R27" s="30">
        <f t="shared" si="14"/>
        <v>0.00019352970000000003</v>
      </c>
      <c r="S27" s="78">
        <f t="shared" si="15"/>
        <v>467.1206639070359</v>
      </c>
      <c r="T27" s="3"/>
      <c r="U27" s="10"/>
      <c r="V27" s="323">
        <f t="shared" si="16"/>
        <v>3</v>
      </c>
      <c r="W27" s="324">
        <f t="shared" si="17"/>
        <v>4.5</v>
      </c>
    </row>
    <row r="28" spans="2:23" ht="18" customHeight="1">
      <c r="B28" s="14"/>
      <c r="C28" s="62">
        <v>3.5</v>
      </c>
      <c r="D28" s="72">
        <f t="shared" si="2"/>
        <v>214.62300774107058</v>
      </c>
      <c r="E28" s="67">
        <f t="shared" si="3"/>
        <v>303.5227683447278</v>
      </c>
      <c r="F28" s="67">
        <f t="shared" si="4"/>
        <v>429.24601548214116</v>
      </c>
      <c r="G28" s="67">
        <f t="shared" si="5"/>
        <v>525.716856027027</v>
      </c>
      <c r="H28" s="67">
        <f t="shared" si="6"/>
        <v>607.0455366894556</v>
      </c>
      <c r="I28" s="67">
        <f t="shared" si="7"/>
        <v>678.6975427377326</v>
      </c>
      <c r="J28" s="67">
        <f t="shared" si="8"/>
        <v>743.4759077615654</v>
      </c>
      <c r="K28" s="67">
        <f t="shared" si="9"/>
        <v>803.0457622860175</v>
      </c>
      <c r="L28" s="67">
        <f t="shared" si="10"/>
        <v>858.4920309642823</v>
      </c>
      <c r="M28" s="67">
        <f t="shared" si="11"/>
        <v>959.8232696889949</v>
      </c>
      <c r="N28" s="67">
        <f t="shared" si="12"/>
        <v>1051.433712054054</v>
      </c>
      <c r="O28" s="68">
        <f t="shared" si="13"/>
        <v>1135.6782082311265</v>
      </c>
      <c r="P28" s="299"/>
      <c r="Q28" s="51"/>
      <c r="R28" s="30">
        <f t="shared" si="14"/>
        <v>0.00021060585000000004</v>
      </c>
      <c r="S28" s="78">
        <f t="shared" si="15"/>
        <v>429.24601548214116</v>
      </c>
      <c r="T28" s="3"/>
      <c r="U28" s="10"/>
      <c r="V28" s="323">
        <f t="shared" si="16"/>
        <v>3.5</v>
      </c>
      <c r="W28" s="324">
        <f t="shared" si="17"/>
        <v>5.25</v>
      </c>
    </row>
    <row r="29" spans="3:23" ht="18" customHeight="1">
      <c r="C29" s="61">
        <v>4</v>
      </c>
      <c r="D29" s="72">
        <f t="shared" si="2"/>
        <v>198.5262821604903</v>
      </c>
      <c r="E29" s="67">
        <f t="shared" si="3"/>
        <v>280.75856071887324</v>
      </c>
      <c r="F29" s="67">
        <f t="shared" si="4"/>
        <v>397.0525643209806</v>
      </c>
      <c r="G29" s="67">
        <f t="shared" si="5"/>
        <v>486.288091825</v>
      </c>
      <c r="H29" s="67">
        <f t="shared" si="6"/>
        <v>561.5171214377465</v>
      </c>
      <c r="I29" s="67">
        <f t="shared" si="7"/>
        <v>627.7952270324027</v>
      </c>
      <c r="J29" s="67">
        <f t="shared" si="8"/>
        <v>687.715214679448</v>
      </c>
      <c r="K29" s="67">
        <f t="shared" si="9"/>
        <v>742.8173301145663</v>
      </c>
      <c r="L29" s="67">
        <f t="shared" si="10"/>
        <v>794.1051286419612</v>
      </c>
      <c r="M29" s="67">
        <f t="shared" si="11"/>
        <v>887.8365244623203</v>
      </c>
      <c r="N29" s="67">
        <f t="shared" si="12"/>
        <v>972.57618365</v>
      </c>
      <c r="O29" s="68">
        <f t="shared" si="13"/>
        <v>1050.502342613792</v>
      </c>
      <c r="P29" s="299"/>
      <c r="Q29" s="51"/>
      <c r="R29" s="30">
        <f t="shared" si="14"/>
        <v>0.00022768200000000002</v>
      </c>
      <c r="S29" s="78">
        <f t="shared" si="15"/>
        <v>397.0525643209806</v>
      </c>
      <c r="T29" s="3"/>
      <c r="U29" s="10"/>
      <c r="V29" s="323">
        <f t="shared" si="16"/>
        <v>4</v>
      </c>
      <c r="W29" s="324">
        <f t="shared" si="17"/>
        <v>6</v>
      </c>
    </row>
    <row r="30" spans="3:23" ht="18" customHeight="1">
      <c r="C30" s="61">
        <v>5</v>
      </c>
      <c r="D30" s="72">
        <f t="shared" si="2"/>
        <v>172.63154970477416</v>
      </c>
      <c r="E30" s="67">
        <f t="shared" si="3"/>
        <v>244.1378788859767</v>
      </c>
      <c r="F30" s="67">
        <f t="shared" si="4"/>
        <v>345.2630994095483</v>
      </c>
      <c r="G30" s="67">
        <f t="shared" si="5"/>
        <v>422.8592102826086</v>
      </c>
      <c r="H30" s="67">
        <f t="shared" si="6"/>
        <v>488.2757577719534</v>
      </c>
      <c r="I30" s="67">
        <f t="shared" si="7"/>
        <v>545.9088930716546</v>
      </c>
      <c r="J30" s="67">
        <f t="shared" si="8"/>
        <v>598.0132301560417</v>
      </c>
      <c r="K30" s="67">
        <f t="shared" si="9"/>
        <v>645.9281131431011</v>
      </c>
      <c r="L30" s="67">
        <f t="shared" si="10"/>
        <v>690.5261988190966</v>
      </c>
      <c r="M30" s="67">
        <f t="shared" si="11"/>
        <v>772.0317604020175</v>
      </c>
      <c r="N30" s="67">
        <f t="shared" si="12"/>
        <v>845.7184205652172</v>
      </c>
      <c r="O30" s="68">
        <f t="shared" si="13"/>
        <v>913.4802979250366</v>
      </c>
      <c r="P30" s="299"/>
      <c r="Q30" s="51"/>
      <c r="R30" s="30">
        <f t="shared" si="14"/>
        <v>0.0002618343</v>
      </c>
      <c r="S30" s="78">
        <f t="shared" si="15"/>
        <v>345.2630994095483</v>
      </c>
      <c r="T30" s="3"/>
      <c r="U30" s="10"/>
      <c r="V30" s="323">
        <f t="shared" si="16"/>
        <v>5</v>
      </c>
      <c r="W30" s="324">
        <f t="shared" si="17"/>
        <v>7.5</v>
      </c>
    </row>
    <row r="31" spans="3:23" ht="18" customHeight="1">
      <c r="C31" s="62">
        <v>6</v>
      </c>
      <c r="D31" s="72">
        <f t="shared" si="2"/>
        <v>152.71252473883865</v>
      </c>
      <c r="E31" s="67">
        <f t="shared" si="3"/>
        <v>215.96812362990244</v>
      </c>
      <c r="F31" s="67">
        <f t="shared" si="4"/>
        <v>305.4250494776773</v>
      </c>
      <c r="G31" s="67">
        <f t="shared" si="5"/>
        <v>374.0677629423076</v>
      </c>
      <c r="H31" s="67">
        <f t="shared" si="6"/>
        <v>431.9362472598049</v>
      </c>
      <c r="I31" s="67">
        <f t="shared" si="7"/>
        <v>482.91940540954045</v>
      </c>
      <c r="J31" s="67">
        <f t="shared" si="8"/>
        <v>529.0117035995753</v>
      </c>
      <c r="K31" s="67">
        <f t="shared" si="9"/>
        <v>571.397946241974</v>
      </c>
      <c r="L31" s="67">
        <f t="shared" si="10"/>
        <v>610.8500989553546</v>
      </c>
      <c r="M31" s="67">
        <f t="shared" si="11"/>
        <v>682.9511726633232</v>
      </c>
      <c r="N31" s="67">
        <f t="shared" si="12"/>
        <v>748.1355258846152</v>
      </c>
      <c r="O31" s="68">
        <f t="shared" si="13"/>
        <v>808.0787250875322</v>
      </c>
      <c r="P31" s="299"/>
      <c r="Q31" s="51"/>
      <c r="R31" s="30">
        <f t="shared" si="14"/>
        <v>0.0002959866000000001</v>
      </c>
      <c r="S31" s="78">
        <f t="shared" si="15"/>
        <v>305.4250494776773</v>
      </c>
      <c r="T31" s="3"/>
      <c r="U31" s="10"/>
      <c r="V31" s="323">
        <f t="shared" si="16"/>
        <v>6</v>
      </c>
      <c r="W31" s="324">
        <f t="shared" si="17"/>
        <v>9</v>
      </c>
    </row>
    <row r="32" spans="2:23" ht="18" customHeight="1">
      <c r="B32" s="20"/>
      <c r="C32" s="61">
        <v>7</v>
      </c>
      <c r="D32" s="72">
        <f t="shared" si="2"/>
        <v>136.91467735206226</v>
      </c>
      <c r="E32" s="67">
        <f t="shared" si="3"/>
        <v>193.6265935992229</v>
      </c>
      <c r="F32" s="67">
        <f t="shared" si="4"/>
        <v>273.8293547041245</v>
      </c>
      <c r="G32" s="67">
        <f t="shared" si="5"/>
        <v>335.3710978103448</v>
      </c>
      <c r="H32" s="67">
        <f t="shared" si="6"/>
        <v>387.2531871984458</v>
      </c>
      <c r="I32" s="67">
        <f t="shared" si="7"/>
        <v>432.9622255395881</v>
      </c>
      <c r="J32" s="67">
        <f t="shared" si="8"/>
        <v>474.28635495134336</v>
      </c>
      <c r="K32" s="67">
        <f t="shared" si="9"/>
        <v>512.2878138721146</v>
      </c>
      <c r="L32" s="67">
        <f t="shared" si="10"/>
        <v>547.658709408249</v>
      </c>
      <c r="M32" s="67">
        <f t="shared" si="11"/>
        <v>612.3010513533243</v>
      </c>
      <c r="N32" s="67">
        <f t="shared" si="12"/>
        <v>670.7421956206896</v>
      </c>
      <c r="O32" s="68">
        <f t="shared" si="13"/>
        <v>724.4843742164082</v>
      </c>
      <c r="P32" s="299"/>
      <c r="Q32" s="51"/>
      <c r="R32" s="30">
        <f t="shared" si="14"/>
        <v>0.00033013890000000004</v>
      </c>
      <c r="S32" s="78">
        <f t="shared" si="15"/>
        <v>273.8293547041245</v>
      </c>
      <c r="T32" s="3"/>
      <c r="U32" s="10"/>
      <c r="V32" s="323">
        <f t="shared" si="16"/>
        <v>7</v>
      </c>
      <c r="W32" s="324">
        <f t="shared" si="17"/>
        <v>10.5</v>
      </c>
    </row>
    <row r="33" spans="3:23" ht="18" customHeight="1" thickBot="1">
      <c r="C33" s="63">
        <v>8</v>
      </c>
      <c r="D33" s="73">
        <f t="shared" si="2"/>
        <v>124.07892635030642</v>
      </c>
      <c r="E33" s="69">
        <f t="shared" si="3"/>
        <v>175.47410044929575</v>
      </c>
      <c r="F33" s="69">
        <f t="shared" si="4"/>
        <v>248.15785270061284</v>
      </c>
      <c r="G33" s="69">
        <f t="shared" si="5"/>
        <v>303.93005739062494</v>
      </c>
      <c r="H33" s="69">
        <f t="shared" si="6"/>
        <v>350.9482008985915</v>
      </c>
      <c r="I33" s="69">
        <f t="shared" si="7"/>
        <v>392.37201689525165</v>
      </c>
      <c r="J33" s="69">
        <f t="shared" si="8"/>
        <v>429.8220091746549</v>
      </c>
      <c r="K33" s="69">
        <f t="shared" si="9"/>
        <v>464.26083132160386</v>
      </c>
      <c r="L33" s="69">
        <f t="shared" si="10"/>
        <v>496.31570540122567</v>
      </c>
      <c r="M33" s="69">
        <f t="shared" si="11"/>
        <v>554.89782778895</v>
      </c>
      <c r="N33" s="69">
        <f t="shared" si="12"/>
        <v>607.8601147812499</v>
      </c>
      <c r="O33" s="70">
        <f t="shared" si="13"/>
        <v>656.56396413362</v>
      </c>
      <c r="P33" s="299"/>
      <c r="Q33" s="53"/>
      <c r="R33" s="54">
        <f t="shared" si="14"/>
        <v>0.00036429120000000005</v>
      </c>
      <c r="S33" s="106">
        <f t="shared" si="15"/>
        <v>248.15785270061284</v>
      </c>
      <c r="T33" s="56"/>
      <c r="U33" s="57"/>
      <c r="V33" s="325">
        <f t="shared" si="16"/>
        <v>8</v>
      </c>
      <c r="W33" s="326">
        <f t="shared" si="17"/>
        <v>12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2580.841668086374</v>
      </c>
      <c r="F35" s="920"/>
      <c r="G35" s="3" t="s">
        <v>33</v>
      </c>
      <c r="H35" s="183" t="s">
        <v>98</v>
      </c>
      <c r="I35" s="5" t="s">
        <v>152</v>
      </c>
      <c r="J35" s="5"/>
      <c r="K35" s="5"/>
      <c r="L35" s="5"/>
      <c r="M35" s="5"/>
      <c r="N35" s="5"/>
      <c r="O35" s="83"/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154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0.9040172194972951</v>
      </c>
      <c r="T38" s="1"/>
      <c r="U38" s="1"/>
    </row>
    <row r="39" spans="3:21" ht="15" customHeight="1">
      <c r="C39" s="82"/>
      <c r="D39" s="6" t="s">
        <v>112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155</v>
      </c>
      <c r="E40" s="5" t="s">
        <v>28</v>
      </c>
      <c r="F40" s="5"/>
      <c r="G40" s="5"/>
      <c r="H40" s="5"/>
      <c r="I40" s="5"/>
      <c r="J40" s="5"/>
      <c r="K40" s="5"/>
      <c r="L40" s="131" t="s">
        <v>34</v>
      </c>
      <c r="M40" s="6"/>
      <c r="N40" s="5"/>
      <c r="O40" s="83"/>
      <c r="P40" s="299"/>
      <c r="Q40" s="102">
        <f>(Q38/Q39)/10</f>
        <v>2580.841668086374</v>
      </c>
      <c r="T40" s="1"/>
      <c r="U40" s="1"/>
    </row>
    <row r="41" spans="3:21" ht="15" customHeight="1">
      <c r="C41" s="82"/>
      <c r="D41" s="6" t="s">
        <v>100</v>
      </c>
      <c r="E41" s="5" t="s">
        <v>101</v>
      </c>
      <c r="F41" s="5"/>
      <c r="G41" s="5"/>
      <c r="H41" s="5"/>
      <c r="I41" s="5"/>
      <c r="J41" s="5"/>
      <c r="K41" s="5"/>
      <c r="L41" s="130">
        <v>4</v>
      </c>
      <c r="M41" s="6"/>
      <c r="N41" s="5"/>
      <c r="O41" s="83"/>
      <c r="P41" s="299"/>
      <c r="Q41" s="99"/>
      <c r="T41" s="1"/>
      <c r="U41" s="1"/>
    </row>
    <row r="42" spans="3:21" ht="15" customHeight="1">
      <c r="C42" s="82"/>
      <c r="D42" s="6"/>
      <c r="E42" s="5"/>
      <c r="F42" s="5"/>
      <c r="G42" s="5"/>
      <c r="H42" s="5"/>
      <c r="I42" s="5"/>
      <c r="J42" s="5"/>
      <c r="K42" s="5"/>
      <c r="L42" s="130"/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</sheetData>
  <sheetProtection/>
  <mergeCells count="25">
    <mergeCell ref="E35:F35"/>
    <mergeCell ref="M22:M23"/>
    <mergeCell ref="N22:N23"/>
    <mergeCell ref="J14:K14"/>
    <mergeCell ref="L14:N14"/>
    <mergeCell ref="H22:H23"/>
    <mergeCell ref="F22:F23"/>
    <mergeCell ref="G2:O2"/>
    <mergeCell ref="G3:O3"/>
    <mergeCell ref="G5:O5"/>
    <mergeCell ref="D10:M10"/>
    <mergeCell ref="D8:M8"/>
    <mergeCell ref="G4:O4"/>
    <mergeCell ref="C7:O7"/>
    <mergeCell ref="C2:F5"/>
    <mergeCell ref="D12:M12"/>
    <mergeCell ref="D20:O21"/>
    <mergeCell ref="J22:J23"/>
    <mergeCell ref="K22:K23"/>
    <mergeCell ref="L22:L23"/>
    <mergeCell ref="G22:G23"/>
    <mergeCell ref="O22:O23"/>
    <mergeCell ref="I22:I23"/>
    <mergeCell ref="D22:D23"/>
    <mergeCell ref="E22:E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3"/>
  <legacyDrawing r:id="rId2"/>
  <oleObjects>
    <oleObject progId="Equation.3" shapeId="1461287" r:id="rId1"/>
  </oleObjects>
</worksheet>
</file>

<file path=xl/worksheets/sheet33.xml><?xml version="1.0" encoding="utf-8"?>
<worksheet xmlns="http://schemas.openxmlformats.org/spreadsheetml/2006/main" xmlns:r="http://schemas.openxmlformats.org/officeDocument/2006/relationships">
  <dimension ref="B1:W44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.4218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710937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'BASE '!G3</f>
        <v>Aeroporto de Diamantina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'BASE '!G4</f>
        <v>A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08" t="str">
        <f>'BASE '!G5</f>
        <v>B</v>
      </c>
      <c r="H5" s="909"/>
      <c r="I5" s="909"/>
      <c r="J5" s="909"/>
      <c r="K5" s="909"/>
      <c r="L5" s="909"/>
      <c r="M5" s="909"/>
      <c r="N5" s="909"/>
      <c r="O5" s="910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27" t="s">
        <v>180</v>
      </c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9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99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0.07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'BASE '!$L$14</f>
        <v>São Luís Ma</v>
      </c>
      <c r="M14" s="922"/>
      <c r="N14" s="922"/>
      <c r="O14" s="83"/>
      <c r="P14" s="299"/>
    </row>
    <row r="15" spans="3:16" ht="15" customHeight="1" thickBot="1">
      <c r="C15" s="87" t="s">
        <v>5</v>
      </c>
      <c r="D15" s="125">
        <v>0.821</v>
      </c>
      <c r="E15" s="5" t="s">
        <v>7</v>
      </c>
      <c r="F15" s="8"/>
      <c r="G15" s="8"/>
      <c r="H15" s="8"/>
      <c r="I15" s="8"/>
      <c r="J15" s="6" t="s">
        <v>18</v>
      </c>
      <c r="K15" s="215">
        <f>'BASE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0.08526187576126676</v>
      </c>
      <c r="E16" s="8" t="s">
        <v>7</v>
      </c>
      <c r="F16" s="92">
        <f>POWER($D$16,2/3)</f>
        <v>0.1937179756065632</v>
      </c>
      <c r="G16" s="8"/>
      <c r="H16" s="8"/>
      <c r="I16" s="8"/>
      <c r="J16" s="6" t="s">
        <v>17</v>
      </c>
      <c r="K16" s="215">
        <f>'BASE '!K16</f>
        <v>10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'BASE '!$D$17</f>
        <v>0.015</v>
      </c>
      <c r="E17" s="5"/>
      <c r="F17" s="5"/>
      <c r="G17" s="5"/>
      <c r="H17" s="5"/>
      <c r="I17" s="5"/>
      <c r="J17" s="6" t="s">
        <v>19</v>
      </c>
      <c r="K17" s="307">
        <f>'BASE '!K17</f>
        <v>126</v>
      </c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186">
        <f aca="true" t="shared" si="0" ref="D18:O18">D19*$D$14</f>
        <v>0.04520086097486476</v>
      </c>
      <c r="E18" s="186">
        <f t="shared" si="0"/>
        <v>0.06392367062159449</v>
      </c>
      <c r="F18" s="186">
        <f t="shared" si="0"/>
        <v>0.09040172194972952</v>
      </c>
      <c r="G18" s="186">
        <f t="shared" si="0"/>
        <v>0.11071904532289965</v>
      </c>
      <c r="H18" s="186">
        <f t="shared" si="0"/>
        <v>0.12784734124318897</v>
      </c>
      <c r="I18" s="186">
        <f t="shared" si="0"/>
        <v>0.14293767288119152</v>
      </c>
      <c r="J18" s="186">
        <f t="shared" si="0"/>
        <v>0.1565803755086461</v>
      </c>
      <c r="K18" s="186">
        <f t="shared" si="0"/>
        <v>0.16912613535514467</v>
      </c>
      <c r="L18" s="186">
        <f t="shared" si="0"/>
        <v>0.18080344389945904</v>
      </c>
      <c r="M18" s="186">
        <f t="shared" si="0"/>
        <v>0.20214439556262997</v>
      </c>
      <c r="N18" s="186">
        <f t="shared" si="0"/>
        <v>0.2214380906457993</v>
      </c>
      <c r="O18" s="187">
        <f t="shared" si="0"/>
        <v>0.23918047437099343</v>
      </c>
      <c r="P18" s="310"/>
      <c r="Q18" s="274" t="s">
        <v>148</v>
      </c>
      <c r="R18" s="497">
        <v>0.65</v>
      </c>
      <c r="S18" s="498"/>
      <c r="T18" s="499" t="s">
        <v>100</v>
      </c>
      <c r="U18" s="497">
        <v>4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0.6457265853552108</v>
      </c>
      <c r="E19" s="188">
        <f t="shared" si="1"/>
        <v>0.9131952945942069</v>
      </c>
      <c r="F19" s="188">
        <f t="shared" si="1"/>
        <v>1.2914531707104215</v>
      </c>
      <c r="G19" s="188">
        <f t="shared" si="1"/>
        <v>1.5817006474699948</v>
      </c>
      <c r="H19" s="188">
        <f t="shared" si="1"/>
        <v>1.8263905891884138</v>
      </c>
      <c r="I19" s="188">
        <f t="shared" si="1"/>
        <v>2.041966755445593</v>
      </c>
      <c r="J19" s="188">
        <f t="shared" si="1"/>
        <v>2.2368625072663724</v>
      </c>
      <c r="K19" s="188">
        <f t="shared" si="1"/>
        <v>2.416087647930638</v>
      </c>
      <c r="L19" s="188">
        <f t="shared" si="1"/>
        <v>2.582906341420843</v>
      </c>
      <c r="M19" s="188">
        <f t="shared" si="1"/>
        <v>2.8877770794661424</v>
      </c>
      <c r="N19" s="188">
        <f t="shared" si="1"/>
        <v>3.1634012949399897</v>
      </c>
      <c r="O19" s="189">
        <f t="shared" si="1"/>
        <v>3.4168639195856203</v>
      </c>
      <c r="P19" s="312">
        <v>0.4</v>
      </c>
      <c r="Q19" s="274" t="s">
        <v>149</v>
      </c>
      <c r="R19" s="497">
        <v>0.65</v>
      </c>
      <c r="S19" s="498"/>
      <c r="T19" s="499" t="s">
        <v>43</v>
      </c>
      <c r="U19" s="500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274" t="s">
        <v>150</v>
      </c>
      <c r="R20" s="497">
        <v>0.55</v>
      </c>
      <c r="S20" s="498"/>
      <c r="T20" s="499" t="s">
        <v>44</v>
      </c>
      <c r="U20" s="497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153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0.9040172194972951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263.35119062105855</v>
      </c>
      <c r="E24" s="65">
        <f aca="true" t="shared" si="3" ref="E24:E33">(($Q$23/R24)/10)*SQRT($E$22)</f>
        <v>372.43482544340327</v>
      </c>
      <c r="F24" s="65">
        <f aca="true" t="shared" si="4" ref="F24:F33">(($Q$23/R24)/10)*SQRT($F$22)</f>
        <v>526.7023812421171</v>
      </c>
      <c r="G24" s="65">
        <f aca="true" t="shared" si="5" ref="G24:G33">(($Q$23/R24)/10)*SQRT($G$22)</f>
        <v>645.0760401760203</v>
      </c>
      <c r="H24" s="65">
        <f aca="true" t="shared" si="6" ref="H24:H33">(($Q$23/R24)/10)*SQRT($H$22)</f>
        <v>744.8696508868065</v>
      </c>
      <c r="I24" s="65">
        <f aca="true" t="shared" si="7" ref="I24:I33">(($Q$23/R24)/10)*SQRT($I$22)</f>
        <v>832.789586879718</v>
      </c>
      <c r="J24" s="65">
        <f aca="true" t="shared" si="8" ref="J24:J33">(($Q$23/R24)/10)*SQRT($J$22)</f>
        <v>912.2752847788596</v>
      </c>
      <c r="K24" s="65">
        <f aca="true" t="shared" si="9" ref="K24:K33">(($Q$23/R24)/10)*SQRT($K$22)</f>
        <v>985.369927702996</v>
      </c>
      <c r="L24" s="65">
        <f aca="true" t="shared" si="10" ref="L24:L33">(($Q$23/R24)/10)*SQRT($L$22)</f>
        <v>1053.4047624842342</v>
      </c>
      <c r="M24" s="65">
        <f aca="true" t="shared" si="11" ref="M24:M33">(($Q$23/R24)/10)*SQRT($M$22)</f>
        <v>1177.742328368384</v>
      </c>
      <c r="N24" s="65">
        <f aca="true" t="shared" si="12" ref="N24:N33">(($Q$23/R24)/10)*SQRT($N$22)</f>
        <v>1290.1520803520407</v>
      </c>
      <c r="O24" s="66">
        <f aca="true" t="shared" si="13" ref="O24:O33">(($Q$23/R24)/10)*SQRT($O$22)</f>
        <v>1393.523515712173</v>
      </c>
      <c r="P24" s="299"/>
      <c r="Q24" s="51"/>
      <c r="R24" s="29">
        <f aca="true" t="shared" si="14" ref="R24:R33">((0.278*$K$17*POWER(10,-6)*(($R$18*$U$18)+($R$19*W24)+($R$20*$U$20))))</f>
        <v>0.00017163720000000002</v>
      </c>
      <c r="S24" s="165">
        <f aca="true" t="shared" si="15" ref="S24:S33">($Q$23/R24)/10</f>
        <v>526.7023812421171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232.50825838615978</v>
      </c>
      <c r="E25" s="67">
        <f t="shared" si="3"/>
        <v>328.8163323734551</v>
      </c>
      <c r="F25" s="67">
        <f t="shared" si="4"/>
        <v>465.01651677231956</v>
      </c>
      <c r="G25" s="67">
        <f t="shared" si="5"/>
        <v>569.5265940292792</v>
      </c>
      <c r="H25" s="67">
        <f t="shared" si="6"/>
        <v>657.6326647469102</v>
      </c>
      <c r="I25" s="67">
        <f t="shared" si="7"/>
        <v>735.2556712992103</v>
      </c>
      <c r="J25" s="67">
        <f t="shared" si="8"/>
        <v>805.4322334083624</v>
      </c>
      <c r="K25" s="67">
        <f t="shared" si="9"/>
        <v>869.9662424765189</v>
      </c>
      <c r="L25" s="67">
        <f t="shared" si="10"/>
        <v>930.0330335446391</v>
      </c>
      <c r="M25" s="67">
        <f t="shared" si="11"/>
        <v>1039.8085421630776</v>
      </c>
      <c r="N25" s="67">
        <f t="shared" si="12"/>
        <v>1139.0531880585584</v>
      </c>
      <c r="O25" s="68">
        <f t="shared" si="13"/>
        <v>1230.3180589170538</v>
      </c>
      <c r="P25" s="299"/>
      <c r="Q25" s="51"/>
      <c r="R25" s="30">
        <f t="shared" si="14"/>
        <v>0.00019440540000000003</v>
      </c>
      <c r="S25" s="78">
        <f t="shared" si="15"/>
        <v>465.01651677231956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219.6460994116063</v>
      </c>
      <c r="E26" s="67">
        <f t="shared" si="3"/>
        <v>310.6264927102427</v>
      </c>
      <c r="F26" s="67">
        <f t="shared" si="4"/>
        <v>439.2921988232126</v>
      </c>
      <c r="G26" s="67">
        <f t="shared" si="5"/>
        <v>538.0208675510638</v>
      </c>
      <c r="H26" s="67">
        <f t="shared" si="6"/>
        <v>621.2529854204854</v>
      </c>
      <c r="I26" s="67">
        <f t="shared" si="7"/>
        <v>694.5819533124456</v>
      </c>
      <c r="J26" s="67">
        <f t="shared" si="8"/>
        <v>760.8764077304531</v>
      </c>
      <c r="K26" s="67">
        <f t="shared" si="9"/>
        <v>821.8404503395201</v>
      </c>
      <c r="L26" s="67">
        <f t="shared" si="10"/>
        <v>878.5843976464251</v>
      </c>
      <c r="M26" s="67">
        <f t="shared" si="11"/>
        <v>982.2872185540565</v>
      </c>
      <c r="N26" s="67">
        <f t="shared" si="12"/>
        <v>1076.0417351021276</v>
      </c>
      <c r="O26" s="68">
        <f t="shared" si="13"/>
        <v>1162.2579109769615</v>
      </c>
      <c r="P26" s="299"/>
      <c r="Q26" s="51"/>
      <c r="R26" s="30">
        <f t="shared" si="14"/>
        <v>0.0002057895</v>
      </c>
      <c r="S26" s="78">
        <f t="shared" si="15"/>
        <v>439.2921988232126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208.13239258761072</v>
      </c>
      <c r="E27" s="67">
        <f t="shared" si="3"/>
        <v>294.34365236656055</v>
      </c>
      <c r="F27" s="67">
        <f t="shared" si="4"/>
        <v>416.26478517522145</v>
      </c>
      <c r="G27" s="67">
        <f t="shared" si="5"/>
        <v>509.81816078427397</v>
      </c>
      <c r="H27" s="67">
        <f t="shared" si="6"/>
        <v>588.6873047331211</v>
      </c>
      <c r="I27" s="67">
        <f t="shared" si="7"/>
        <v>658.1724154371963</v>
      </c>
      <c r="J27" s="67">
        <f t="shared" si="8"/>
        <v>720.9917573252275</v>
      </c>
      <c r="K27" s="67">
        <f t="shared" si="9"/>
        <v>778.7601041523676</v>
      </c>
      <c r="L27" s="67">
        <f t="shared" si="10"/>
        <v>832.5295703504429</v>
      </c>
      <c r="M27" s="67">
        <f t="shared" si="11"/>
        <v>930.7963562911419</v>
      </c>
      <c r="N27" s="67">
        <f t="shared" si="12"/>
        <v>1019.6363215685479</v>
      </c>
      <c r="O27" s="68">
        <f t="shared" si="13"/>
        <v>1101.3331011273624</v>
      </c>
      <c r="P27" s="299"/>
      <c r="Q27" s="51"/>
      <c r="R27" s="30">
        <f t="shared" si="14"/>
        <v>0.00021717360000000007</v>
      </c>
      <c r="S27" s="78">
        <f t="shared" si="15"/>
        <v>416.26478517522145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197.76564506408994</v>
      </c>
      <c r="E28" s="67">
        <f t="shared" si="3"/>
        <v>279.68285742109975</v>
      </c>
      <c r="F28" s="67">
        <f t="shared" si="4"/>
        <v>395.5312901281799</v>
      </c>
      <c r="G28" s="67">
        <f t="shared" si="5"/>
        <v>484.4249190593869</v>
      </c>
      <c r="H28" s="67">
        <f t="shared" si="6"/>
        <v>559.3657148421995</v>
      </c>
      <c r="I28" s="67">
        <f t="shared" si="7"/>
        <v>625.3898813349606</v>
      </c>
      <c r="J28" s="67">
        <f t="shared" si="8"/>
        <v>685.0802904852738</v>
      </c>
      <c r="K28" s="67">
        <f t="shared" si="9"/>
        <v>739.9712867041655</v>
      </c>
      <c r="L28" s="67">
        <f t="shared" si="10"/>
        <v>791.0625802563598</v>
      </c>
      <c r="M28" s="67">
        <f t="shared" si="11"/>
        <v>884.4348519548017</v>
      </c>
      <c r="N28" s="67">
        <f t="shared" si="12"/>
        <v>968.8498381187738</v>
      </c>
      <c r="O28" s="68">
        <f t="shared" si="13"/>
        <v>1046.4774294237009</v>
      </c>
      <c r="P28" s="299"/>
      <c r="Q28" s="51"/>
      <c r="R28" s="30">
        <f t="shared" si="14"/>
        <v>0.00022855770000000005</v>
      </c>
      <c r="S28" s="78">
        <f t="shared" si="15"/>
        <v>395.5312901281799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188.38260350995427</v>
      </c>
      <c r="E29" s="67">
        <f t="shared" si="3"/>
        <v>266.4132327989308</v>
      </c>
      <c r="F29" s="67">
        <f t="shared" si="4"/>
        <v>376.76520701990853</v>
      </c>
      <c r="G29" s="67">
        <f t="shared" si="5"/>
        <v>461.44125501642327</v>
      </c>
      <c r="H29" s="67">
        <f t="shared" si="6"/>
        <v>532.8264655978616</v>
      </c>
      <c r="I29" s="67">
        <f t="shared" si="7"/>
        <v>595.7180986438857</v>
      </c>
      <c r="J29" s="67">
        <f t="shared" si="8"/>
        <v>652.5764810826878</v>
      </c>
      <c r="K29" s="67">
        <f t="shared" si="9"/>
        <v>704.863159962727</v>
      </c>
      <c r="L29" s="67">
        <f t="shared" si="10"/>
        <v>753.5304140398171</v>
      </c>
      <c r="M29" s="67">
        <f t="shared" si="11"/>
        <v>842.4726144532965</v>
      </c>
      <c r="N29" s="67">
        <f t="shared" si="12"/>
        <v>922.8825100328465</v>
      </c>
      <c r="O29" s="68">
        <f t="shared" si="13"/>
        <v>996.8270404364449</v>
      </c>
      <c r="P29" s="299"/>
      <c r="Q29" s="51"/>
      <c r="R29" s="30">
        <f t="shared" si="14"/>
        <v>0.00023994180000000005</v>
      </c>
      <c r="S29" s="78">
        <f t="shared" si="15"/>
        <v>376.76520701990853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172.05611120575824</v>
      </c>
      <c r="E30" s="67">
        <f t="shared" si="3"/>
        <v>243.32408595635678</v>
      </c>
      <c r="F30" s="67">
        <f t="shared" si="4"/>
        <v>344.1122224115165</v>
      </c>
      <c r="G30" s="67">
        <f t="shared" si="5"/>
        <v>421.4496795816666</v>
      </c>
      <c r="H30" s="67">
        <f t="shared" si="6"/>
        <v>486.64817191271356</v>
      </c>
      <c r="I30" s="67">
        <f t="shared" si="7"/>
        <v>544.0891967614157</v>
      </c>
      <c r="J30" s="67">
        <f t="shared" si="8"/>
        <v>596.0198527221883</v>
      </c>
      <c r="K30" s="67">
        <f t="shared" si="9"/>
        <v>643.775019432624</v>
      </c>
      <c r="L30" s="67">
        <f t="shared" si="10"/>
        <v>688.224444823033</v>
      </c>
      <c r="M30" s="67">
        <f t="shared" si="11"/>
        <v>769.4583212006775</v>
      </c>
      <c r="N30" s="67">
        <f t="shared" si="12"/>
        <v>842.8993591633332</v>
      </c>
      <c r="O30" s="68">
        <f t="shared" si="13"/>
        <v>910.4353635986198</v>
      </c>
      <c r="P30" s="299"/>
      <c r="Q30" s="51"/>
      <c r="R30" s="30">
        <f t="shared" si="14"/>
        <v>0.00026271000000000004</v>
      </c>
      <c r="S30" s="78">
        <f t="shared" si="15"/>
        <v>344.1122224115165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>
        <f t="shared" si="2"/>
        <v>158.33384466787567</v>
      </c>
      <c r="E31" s="67">
        <f t="shared" si="3"/>
        <v>223.91787051198475</v>
      </c>
      <c r="F31" s="67">
        <f t="shared" si="4"/>
        <v>316.66768933575133</v>
      </c>
      <c r="G31" s="67">
        <f t="shared" si="5"/>
        <v>387.8371284493864</v>
      </c>
      <c r="H31" s="67">
        <f t="shared" si="6"/>
        <v>447.8357410239695</v>
      </c>
      <c r="I31" s="67">
        <f t="shared" si="7"/>
        <v>500.6955798417935</v>
      </c>
      <c r="J31" s="67">
        <f t="shared" si="8"/>
        <v>548.4845270449584</v>
      </c>
      <c r="K31" s="67">
        <f t="shared" si="9"/>
        <v>592.4309994778748</v>
      </c>
      <c r="L31" s="67">
        <f t="shared" si="10"/>
        <v>633.3353786715027</v>
      </c>
      <c r="M31" s="67">
        <f t="shared" si="11"/>
        <v>708.0904796325252</v>
      </c>
      <c r="N31" s="67">
        <f t="shared" si="12"/>
        <v>775.6742568987728</v>
      </c>
      <c r="O31" s="68">
        <f t="shared" si="13"/>
        <v>837.8239542318586</v>
      </c>
      <c r="P31" s="299"/>
      <c r="Q31" s="51"/>
      <c r="R31" s="30">
        <f t="shared" si="14"/>
        <v>0.00028547820000000005</v>
      </c>
      <c r="S31" s="78">
        <f t="shared" si="15"/>
        <v>316.66768933575133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146.63873114127122</v>
      </c>
      <c r="E32" s="67">
        <f t="shared" si="3"/>
        <v>207.3784823491677</v>
      </c>
      <c r="F32" s="67">
        <f t="shared" si="4"/>
        <v>293.27746228254244</v>
      </c>
      <c r="G32" s="67">
        <f t="shared" si="5"/>
        <v>359.190067825284</v>
      </c>
      <c r="H32" s="67">
        <f t="shared" si="6"/>
        <v>414.7569646983354</v>
      </c>
      <c r="I32" s="67">
        <f t="shared" si="7"/>
        <v>463.7123836034792</v>
      </c>
      <c r="J32" s="67">
        <f t="shared" si="8"/>
        <v>507.9714653882286</v>
      </c>
      <c r="K32" s="67">
        <f t="shared" si="9"/>
        <v>548.6718915618954</v>
      </c>
      <c r="L32" s="67">
        <f t="shared" si="10"/>
        <v>586.5549245650849</v>
      </c>
      <c r="M32" s="67">
        <f t="shared" si="11"/>
        <v>655.7883419323956</v>
      </c>
      <c r="N32" s="67">
        <f t="shared" si="12"/>
        <v>718.380135650568</v>
      </c>
      <c r="O32" s="68">
        <f t="shared" si="13"/>
        <v>775.9392303397327</v>
      </c>
      <c r="P32" s="299"/>
      <c r="Q32" s="51"/>
      <c r="R32" s="30">
        <f t="shared" si="14"/>
        <v>0.00030824640000000006</v>
      </c>
      <c r="S32" s="78">
        <f t="shared" si="15"/>
        <v>293.27746228254244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136.55246921091924</v>
      </c>
      <c r="E33" s="69">
        <f t="shared" si="3"/>
        <v>193.11435393361648</v>
      </c>
      <c r="F33" s="69">
        <f t="shared" si="4"/>
        <v>273.1049384218385</v>
      </c>
      <c r="G33" s="69">
        <f t="shared" si="5"/>
        <v>334.4838726838624</v>
      </c>
      <c r="H33" s="69">
        <f t="shared" si="6"/>
        <v>386.22870786723297</v>
      </c>
      <c r="I33" s="69">
        <f t="shared" si="7"/>
        <v>431.81682282652037</v>
      </c>
      <c r="J33" s="69">
        <f t="shared" si="8"/>
        <v>473.0316291445938</v>
      </c>
      <c r="K33" s="69">
        <f t="shared" si="9"/>
        <v>510.93255510525717</v>
      </c>
      <c r="L33" s="69">
        <f t="shared" si="10"/>
        <v>546.209876843677</v>
      </c>
      <c r="M33" s="69">
        <f t="shared" si="11"/>
        <v>610.681207302125</v>
      </c>
      <c r="N33" s="69">
        <f t="shared" si="12"/>
        <v>668.9677453677248</v>
      </c>
      <c r="O33" s="70">
        <f t="shared" si="13"/>
        <v>722.5677488877935</v>
      </c>
      <c r="P33" s="299"/>
      <c r="Q33" s="53"/>
      <c r="R33" s="54">
        <f t="shared" si="14"/>
        <v>0.00033101460000000007</v>
      </c>
      <c r="S33" s="106">
        <f t="shared" si="15"/>
        <v>273.1049384218385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2580.841668086374</v>
      </c>
      <c r="F35" s="920"/>
      <c r="G35" s="3" t="s">
        <v>33</v>
      </c>
      <c r="H35" s="183" t="s">
        <v>98</v>
      </c>
      <c r="I35" s="5" t="s">
        <v>151</v>
      </c>
      <c r="J35" s="5"/>
      <c r="K35" s="5"/>
      <c r="L35" s="5"/>
      <c r="M35" s="5"/>
      <c r="N35" s="5"/>
      <c r="O35" s="83"/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154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0.9040172194972951</v>
      </c>
      <c r="T38" s="1"/>
      <c r="U38" s="1"/>
    </row>
    <row r="39" spans="3:21" ht="15" customHeight="1">
      <c r="C39" s="82"/>
      <c r="D39" s="6" t="s">
        <v>112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155</v>
      </c>
      <c r="E40" s="5" t="s">
        <v>28</v>
      </c>
      <c r="F40" s="5"/>
      <c r="G40" s="5"/>
      <c r="H40" s="5"/>
      <c r="I40" s="5"/>
      <c r="J40" s="5"/>
      <c r="K40" s="5"/>
      <c r="L40" s="131" t="s">
        <v>34</v>
      </c>
      <c r="M40" s="5"/>
      <c r="N40" s="5"/>
      <c r="O40" s="83"/>
      <c r="P40" s="299"/>
      <c r="Q40" s="102">
        <f>(Q38/Q39)/10</f>
        <v>2580.841668086374</v>
      </c>
      <c r="T40" s="1"/>
      <c r="U40" s="1"/>
    </row>
    <row r="41" spans="3:21" ht="15" customHeight="1">
      <c r="C41" s="82"/>
      <c r="D41" s="6" t="s">
        <v>100</v>
      </c>
      <c r="E41" s="5" t="s">
        <v>101</v>
      </c>
      <c r="F41" s="5"/>
      <c r="G41" s="5"/>
      <c r="H41" s="5"/>
      <c r="I41" s="5"/>
      <c r="J41" s="5"/>
      <c r="K41" s="5"/>
      <c r="L41" s="130">
        <f>U18</f>
        <v>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0">
        <f>$U$20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</sheetData>
  <sheetProtection/>
  <mergeCells count="25">
    <mergeCell ref="D22:D23"/>
    <mergeCell ref="O22:O23"/>
    <mergeCell ref="I22:I23"/>
    <mergeCell ref="L14:N14"/>
    <mergeCell ref="J22:J23"/>
    <mergeCell ref="K22:K23"/>
    <mergeCell ref="L22:L23"/>
    <mergeCell ref="G2:O2"/>
    <mergeCell ref="G3:O3"/>
    <mergeCell ref="G5:O5"/>
    <mergeCell ref="D10:M10"/>
    <mergeCell ref="D8:M8"/>
    <mergeCell ref="G4:O4"/>
    <mergeCell ref="C7:O7"/>
    <mergeCell ref="C2:F5"/>
    <mergeCell ref="D12:M12"/>
    <mergeCell ref="D20:O21"/>
    <mergeCell ref="E35:F35"/>
    <mergeCell ref="M22:M23"/>
    <mergeCell ref="N22:N23"/>
    <mergeCell ref="J14:K14"/>
    <mergeCell ref="E22:E23"/>
    <mergeCell ref="F22:F23"/>
    <mergeCell ref="G22:G23"/>
    <mergeCell ref="H22:H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3"/>
  <legacyDrawing r:id="rId2"/>
  <oleObjects>
    <oleObject progId="Equation.3" shapeId="1427815" r:id="rId1"/>
  </oleObjects>
</worksheet>
</file>

<file path=xl/worksheets/sheet34.xml><?xml version="1.0" encoding="utf-8"?>
<worksheet xmlns="http://schemas.openxmlformats.org/spreadsheetml/2006/main" xmlns:r="http://schemas.openxmlformats.org/officeDocument/2006/relationships">
  <dimension ref="B1:AI44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.421875" style="2" customWidth="1"/>
    <col min="2" max="2" width="11.421875" style="2" customWidth="1"/>
    <col min="3" max="3" width="6.28125" style="2" customWidth="1"/>
    <col min="4" max="14" width="6.00390625" style="2" customWidth="1"/>
    <col min="15" max="15" width="4.28125" style="2" customWidth="1"/>
    <col min="16" max="17" width="9.140625" style="2" customWidth="1"/>
    <col min="18" max="21" width="7.7109375" style="2" customWidth="1"/>
    <col min="22" max="22" width="15.7109375" style="126" customWidth="1"/>
    <col min="23" max="16384" width="9.140625" style="2" customWidth="1"/>
  </cols>
  <sheetData>
    <row r="1" ht="12.75">
      <c r="G1" s="35"/>
    </row>
    <row r="2" spans="2:22" ht="19.5" customHeight="1">
      <c r="B2" s="878"/>
      <c r="C2" s="879"/>
      <c r="D2" s="879"/>
      <c r="E2" s="880"/>
      <c r="F2" s="861" t="str">
        <f>'BASE '!G2</f>
        <v>PROJETO  DE  DRENAGEM</v>
      </c>
      <c r="G2" s="862"/>
      <c r="H2" s="862"/>
      <c r="I2" s="862"/>
      <c r="J2" s="862"/>
      <c r="K2" s="862"/>
      <c r="L2" s="862"/>
      <c r="M2" s="862"/>
      <c r="N2" s="863"/>
      <c r="O2" s="380"/>
      <c r="Q2" s="129"/>
      <c r="R2" s="129"/>
      <c r="V2" s="2"/>
    </row>
    <row r="3" spans="2:22" ht="19.5" customHeight="1">
      <c r="B3" s="881"/>
      <c r="C3" s="882"/>
      <c r="D3" s="882"/>
      <c r="E3" s="883"/>
      <c r="F3" s="864" t="str">
        <f>'BASE '!G3</f>
        <v>Aeroporto de Diamantina</v>
      </c>
      <c r="G3" s="865"/>
      <c r="H3" s="865"/>
      <c r="I3" s="865"/>
      <c r="J3" s="865"/>
      <c r="K3" s="865"/>
      <c r="L3" s="865"/>
      <c r="M3" s="865"/>
      <c r="N3" s="866"/>
      <c r="O3" s="380"/>
      <c r="V3" s="2"/>
    </row>
    <row r="4" spans="2:22" ht="19.5" customHeight="1">
      <c r="B4" s="881"/>
      <c r="C4" s="882"/>
      <c r="D4" s="882"/>
      <c r="E4" s="883"/>
      <c r="F4" s="864" t="str">
        <f>'BASE '!G4</f>
        <v>A</v>
      </c>
      <c r="G4" s="865"/>
      <c r="H4" s="865"/>
      <c r="I4" s="865"/>
      <c r="J4" s="865"/>
      <c r="K4" s="865"/>
      <c r="L4" s="865"/>
      <c r="M4" s="865"/>
      <c r="N4" s="866"/>
      <c r="O4" s="380"/>
      <c r="P4" s="34"/>
      <c r="Q4" s="167"/>
      <c r="R4" s="167"/>
      <c r="S4" s="34"/>
      <c r="T4" s="178"/>
      <c r="V4" s="2"/>
    </row>
    <row r="5" spans="2:22" ht="19.5" customHeight="1">
      <c r="B5" s="884"/>
      <c r="C5" s="885"/>
      <c r="D5" s="885"/>
      <c r="E5" s="886"/>
      <c r="F5" s="908" t="str">
        <f>'BASE '!G5</f>
        <v>B</v>
      </c>
      <c r="G5" s="909"/>
      <c r="H5" s="909"/>
      <c r="I5" s="909"/>
      <c r="J5" s="909"/>
      <c r="K5" s="909"/>
      <c r="L5" s="909"/>
      <c r="M5" s="909"/>
      <c r="N5" s="910"/>
      <c r="O5" s="380"/>
      <c r="P5" s="10"/>
      <c r="Q5" s="167"/>
      <c r="R5" s="167"/>
      <c r="S5" s="169"/>
      <c r="T5" s="179"/>
      <c r="V5" s="2"/>
    </row>
    <row r="6" spans="2:14" ht="12.75">
      <c r="B6" s="8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3"/>
    </row>
    <row r="7" spans="2:22" s="75" customFormat="1" ht="21" customHeight="1">
      <c r="B7" s="827" t="s">
        <v>45</v>
      </c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9"/>
      <c r="O7" s="76"/>
      <c r="V7" s="127"/>
    </row>
    <row r="8" spans="2:22" s="75" customFormat="1" ht="12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6"/>
      <c r="O8" s="76"/>
      <c r="V8" s="127"/>
    </row>
    <row r="9" spans="2:14" ht="18.75" customHeight="1">
      <c r="B9" s="8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3"/>
    </row>
    <row r="10" spans="2:14" ht="12.75">
      <c r="B10" s="82"/>
      <c r="C10" s="823" t="s">
        <v>38</v>
      </c>
      <c r="D10" s="823"/>
      <c r="E10" s="823"/>
      <c r="F10" s="823"/>
      <c r="G10" s="823"/>
      <c r="H10" s="823"/>
      <c r="I10" s="823"/>
      <c r="J10" s="823"/>
      <c r="K10" s="823"/>
      <c r="L10" s="823"/>
      <c r="M10" s="5"/>
      <c r="N10" s="83"/>
    </row>
    <row r="11" spans="2:14" ht="12.75">
      <c r="B11" s="82"/>
      <c r="L11" s="5"/>
      <c r="M11" s="5"/>
      <c r="N11" s="83"/>
    </row>
    <row r="12" spans="2:14" ht="12.75">
      <c r="B12" s="82"/>
      <c r="C12" s="921" t="s">
        <v>24</v>
      </c>
      <c r="D12" s="921"/>
      <c r="E12" s="921"/>
      <c r="F12" s="921"/>
      <c r="G12" s="921"/>
      <c r="H12" s="921"/>
      <c r="I12" s="921"/>
      <c r="J12" s="921"/>
      <c r="K12" s="921"/>
      <c r="L12" s="921"/>
      <c r="M12" s="5"/>
      <c r="N12" s="83"/>
    </row>
    <row r="13" spans="2:14" ht="15" customHeight="1">
      <c r="B13" s="87"/>
      <c r="C13" s="13"/>
      <c r="D13" s="13"/>
      <c r="E13" s="13"/>
      <c r="F13" s="13"/>
      <c r="G13" s="13"/>
      <c r="H13" s="13"/>
      <c r="N13" s="83"/>
    </row>
    <row r="14" spans="2:14" ht="15" customHeight="1">
      <c r="B14" s="87" t="s">
        <v>4</v>
      </c>
      <c r="C14" s="91">
        <v>0.125</v>
      </c>
      <c r="D14" s="5" t="s">
        <v>8</v>
      </c>
      <c r="E14" s="12"/>
      <c r="F14" s="12"/>
      <c r="G14" s="12"/>
      <c r="H14" s="12"/>
      <c r="I14" s="810" t="s">
        <v>51</v>
      </c>
      <c r="J14" s="810"/>
      <c r="K14" s="1072" t="str">
        <f>'BASE '!$L$14</f>
        <v>São Luís Ma</v>
      </c>
      <c r="L14" s="1072"/>
      <c r="M14" s="1072"/>
      <c r="N14" s="83"/>
    </row>
    <row r="15" spans="2:14" ht="15" customHeight="1" thickBot="1">
      <c r="B15" s="87" t="s">
        <v>5</v>
      </c>
      <c r="C15" s="91">
        <v>1.118</v>
      </c>
      <c r="D15" s="5" t="s">
        <v>7</v>
      </c>
      <c r="E15" s="8"/>
      <c r="F15" s="8"/>
      <c r="G15" s="8"/>
      <c r="H15" s="8"/>
      <c r="I15" s="17" t="s">
        <v>18</v>
      </c>
      <c r="J15" s="7">
        <f>'BASE '!K15</f>
        <v>10</v>
      </c>
      <c r="K15" s="8" t="s">
        <v>12</v>
      </c>
      <c r="L15" s="8"/>
      <c r="M15" s="8"/>
      <c r="N15" s="83"/>
    </row>
    <row r="16" spans="2:21" ht="15" customHeight="1">
      <c r="B16" s="87" t="s">
        <v>6</v>
      </c>
      <c r="C16" s="91">
        <f>C14/C15</f>
        <v>0.11180679785330946</v>
      </c>
      <c r="D16" s="8" t="s">
        <v>7</v>
      </c>
      <c r="E16" s="371">
        <f>POWER($C$16,2/3)</f>
        <v>0.23208414534798028</v>
      </c>
      <c r="F16" s="8"/>
      <c r="G16" s="8"/>
      <c r="H16" s="8"/>
      <c r="I16" s="17" t="s">
        <v>17</v>
      </c>
      <c r="J16" s="7">
        <f>'BASE '!K16</f>
        <v>10</v>
      </c>
      <c r="K16" s="8" t="s">
        <v>13</v>
      </c>
      <c r="L16" s="8"/>
      <c r="M16" s="8"/>
      <c r="N16" s="83"/>
      <c r="P16" s="367" t="s">
        <v>15</v>
      </c>
      <c r="Q16" s="368" t="s">
        <v>2</v>
      </c>
      <c r="R16" s="368" t="s">
        <v>16</v>
      </c>
      <c r="S16" s="1075" t="s">
        <v>165</v>
      </c>
      <c r="T16" s="1075"/>
      <c r="U16" s="1076"/>
    </row>
    <row r="17" spans="2:21" ht="15" customHeight="1">
      <c r="B17" s="87" t="s">
        <v>9</v>
      </c>
      <c r="C17" s="91">
        <f>'BASE '!D17</f>
        <v>0.015</v>
      </c>
      <c r="D17" s="5"/>
      <c r="E17" s="5"/>
      <c r="F17" s="5"/>
      <c r="G17" s="5"/>
      <c r="H17" s="5"/>
      <c r="I17" s="17" t="s">
        <v>19</v>
      </c>
      <c r="J17" s="7">
        <f>'BASE '!K17</f>
        <v>126</v>
      </c>
      <c r="K17" s="8" t="s">
        <v>14</v>
      </c>
      <c r="L17" s="8"/>
      <c r="M17" s="8"/>
      <c r="N17" s="83"/>
      <c r="P17" s="369">
        <f>Q17/R17</f>
        <v>4</v>
      </c>
      <c r="Q17" s="370">
        <v>4</v>
      </c>
      <c r="R17" s="370">
        <v>1</v>
      </c>
      <c r="S17" s="1077"/>
      <c r="T17" s="1077"/>
      <c r="U17" s="1078"/>
    </row>
    <row r="18" spans="2:35" ht="12.75">
      <c r="B18" s="88"/>
      <c r="C18" s="34"/>
      <c r="D18" s="34"/>
      <c r="E18" s="5"/>
      <c r="F18" s="5"/>
      <c r="G18" s="5"/>
      <c r="H18" s="5"/>
      <c r="I18" s="13"/>
      <c r="J18" s="13"/>
      <c r="K18" s="13"/>
      <c r="L18" s="13"/>
      <c r="M18" s="13"/>
      <c r="N18" s="93"/>
      <c r="O18" s="13"/>
      <c r="P18" s="46" t="s">
        <v>158</v>
      </c>
      <c r="Q18" s="311">
        <v>0.9</v>
      </c>
      <c r="R18" s="31"/>
      <c r="S18" s="360" t="s">
        <v>162</v>
      </c>
      <c r="T18" s="311">
        <v>12</v>
      </c>
      <c r="U18" s="45"/>
      <c r="V18" s="1073" t="s">
        <v>156</v>
      </c>
      <c r="W18" s="1074"/>
      <c r="X18" s="1074"/>
      <c r="Y18" s="1074"/>
      <c r="Z18" s="1074"/>
      <c r="AA18" s="1074"/>
      <c r="AB18" s="1074"/>
      <c r="AC18" s="1074"/>
      <c r="AD18" s="1074"/>
      <c r="AE18" s="1074"/>
      <c r="AF18" s="1074"/>
      <c r="AG18" s="1074"/>
      <c r="AH18" s="1074"/>
      <c r="AI18" s="1074"/>
    </row>
    <row r="19" spans="2:35" ht="12.75">
      <c r="B19" s="89"/>
      <c r="C19" s="11"/>
      <c r="D19" s="94"/>
      <c r="E19" s="5"/>
      <c r="F19" s="5"/>
      <c r="G19" s="5"/>
      <c r="H19" s="17"/>
      <c r="I19" s="16"/>
      <c r="J19" s="17"/>
      <c r="K19" s="16"/>
      <c r="L19" s="17"/>
      <c r="M19" s="10"/>
      <c r="N19" s="95"/>
      <c r="O19" s="19">
        <v>0.4</v>
      </c>
      <c r="P19" s="46" t="s">
        <v>159</v>
      </c>
      <c r="Q19" s="311">
        <v>0.9</v>
      </c>
      <c r="R19" s="31"/>
      <c r="S19" s="38" t="s">
        <v>161</v>
      </c>
      <c r="T19" s="311">
        <v>6</v>
      </c>
      <c r="U19" s="378" t="s">
        <v>170</v>
      </c>
      <c r="V19" s="1073" t="s">
        <v>157</v>
      </c>
      <c r="W19" s="1074"/>
      <c r="X19" s="1074"/>
      <c r="Y19" s="1074"/>
      <c r="Z19" s="1074"/>
      <c r="AA19" s="1074"/>
      <c r="AB19" s="1074"/>
      <c r="AC19" s="1074"/>
      <c r="AD19" s="1074"/>
      <c r="AE19" s="1074"/>
      <c r="AF19" s="1074"/>
      <c r="AG19" s="1074"/>
      <c r="AH19" s="1074"/>
      <c r="AI19" s="1074"/>
    </row>
    <row r="20" spans="2:23" ht="12.75">
      <c r="B20" s="23"/>
      <c r="C20" s="830" t="s">
        <v>20</v>
      </c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2"/>
      <c r="O20" s="8"/>
      <c r="P20" s="46" t="s">
        <v>160</v>
      </c>
      <c r="Q20" s="311">
        <v>0.65</v>
      </c>
      <c r="R20" s="31"/>
      <c r="S20" s="38" t="s">
        <v>163</v>
      </c>
      <c r="T20" s="311">
        <v>3</v>
      </c>
      <c r="U20" s="379" t="s">
        <v>164</v>
      </c>
      <c r="W20" s="126"/>
    </row>
    <row r="21" spans="2:23" ht="12.75">
      <c r="B21" s="938" t="s">
        <v>39</v>
      </c>
      <c r="C21" s="915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7"/>
      <c r="P21" s="317"/>
      <c r="Q21" s="35"/>
      <c r="R21" s="35"/>
      <c r="S21" s="35"/>
      <c r="T21" s="361"/>
      <c r="U21" s="362"/>
      <c r="W21" s="126"/>
    </row>
    <row r="22" spans="2:23" ht="12.75">
      <c r="B22" s="938"/>
      <c r="C22" s="918">
        <v>0.25</v>
      </c>
      <c r="D22" s="911">
        <v>0.5</v>
      </c>
      <c r="E22" s="911">
        <v>1</v>
      </c>
      <c r="F22" s="911">
        <v>1.5</v>
      </c>
      <c r="G22" s="911">
        <v>2</v>
      </c>
      <c r="H22" s="911">
        <v>2.5</v>
      </c>
      <c r="I22" s="911">
        <v>3</v>
      </c>
      <c r="J22" s="911">
        <v>3.5</v>
      </c>
      <c r="K22" s="911">
        <v>4</v>
      </c>
      <c r="L22" s="911">
        <v>4.5</v>
      </c>
      <c r="M22" s="911">
        <v>5</v>
      </c>
      <c r="N22" s="913">
        <v>6</v>
      </c>
      <c r="P22" s="47" t="s">
        <v>22</v>
      </c>
      <c r="Q22" s="28" t="s">
        <v>21</v>
      </c>
      <c r="R22" s="319" t="s">
        <v>23</v>
      </c>
      <c r="S22" s="320"/>
      <c r="T22" s="363"/>
      <c r="U22" s="364"/>
      <c r="W22" s="126"/>
    </row>
    <row r="23" spans="2:23" ht="12.75">
      <c r="B23" s="25"/>
      <c r="C23" s="919"/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914"/>
      <c r="P23" s="49">
        <f>($C$14*$E$16)/$C$17</f>
        <v>1.9340345445665024</v>
      </c>
      <c r="Q23" s="30"/>
      <c r="R23" s="78"/>
      <c r="S23" s="36"/>
      <c r="T23" s="365"/>
      <c r="U23" s="366"/>
      <c r="W23" s="126"/>
    </row>
    <row r="24" spans="2:23" ht="24" customHeight="1">
      <c r="B24" s="64" t="s">
        <v>40</v>
      </c>
      <c r="C24" s="71">
        <f>(($P$23/$Q$24)/10)*SQRT(C22)</f>
        <v>375.60516107357114</v>
      </c>
      <c r="D24" s="65">
        <f aca="true" t="shared" si="0" ref="D24:N24">(($P$23/$Q$24)/10)*SQRT(D22)</f>
        <v>531.1859128875752</v>
      </c>
      <c r="E24" s="65">
        <f t="shared" si="0"/>
        <v>751.2103221471423</v>
      </c>
      <c r="F24" s="65">
        <f t="shared" si="0"/>
        <v>920.0409893861358</v>
      </c>
      <c r="G24" s="65">
        <f t="shared" si="0"/>
        <v>1062.3718257751505</v>
      </c>
      <c r="H24" s="65">
        <f t="shared" si="0"/>
        <v>1187.7678099068999</v>
      </c>
      <c r="I24" s="65">
        <f t="shared" si="0"/>
        <v>1301.1344451290342</v>
      </c>
      <c r="J24" s="65">
        <f t="shared" si="0"/>
        <v>1405.3858254413435</v>
      </c>
      <c r="K24" s="65">
        <f t="shared" si="0"/>
        <v>1502.4206442942846</v>
      </c>
      <c r="L24" s="65">
        <f t="shared" si="0"/>
        <v>1593.5577386627256</v>
      </c>
      <c r="M24" s="65">
        <f t="shared" si="0"/>
        <v>1679.757345720526</v>
      </c>
      <c r="N24" s="66">
        <f t="shared" si="0"/>
        <v>1840.0819787722717</v>
      </c>
      <c r="P24" s="373" t="s">
        <v>166</v>
      </c>
      <c r="Q24" s="29">
        <f>((0.278*$J$17*POWER(10,-6)*(($Q$19*T19)+($Q$20*$T$20))))</f>
        <v>0.0002574558</v>
      </c>
      <c r="R24" s="33"/>
      <c r="S24" s="123"/>
      <c r="T24" s="128"/>
      <c r="U24" s="372"/>
      <c r="W24" s="126"/>
    </row>
    <row r="25" spans="2:21" ht="18" customHeight="1">
      <c r="B25" s="62"/>
      <c r="C25" s="7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P25" s="374"/>
      <c r="Q25" s="30"/>
      <c r="R25" s="1070" t="s">
        <v>167</v>
      </c>
      <c r="S25" s="1070"/>
      <c r="T25" s="1070"/>
      <c r="U25" s="1071"/>
    </row>
    <row r="26" spans="2:21" ht="24" customHeight="1" thickBot="1">
      <c r="B26" s="62" t="s">
        <v>41</v>
      </c>
      <c r="C26" s="72">
        <f>(($P$23/$Q$26)/10)*SQRT(C22)</f>
        <v>216.5253281482939</v>
      </c>
      <c r="D26" s="72">
        <f aca="true" t="shared" si="1" ref="D26:N26">(($P$23/$Q$26)/10)*SQRT(D22)</f>
        <v>306.21305566460217</v>
      </c>
      <c r="E26" s="72">
        <f t="shared" si="1"/>
        <v>433.0506562965878</v>
      </c>
      <c r="F26" s="72">
        <f t="shared" si="1"/>
        <v>530.3765703520077</v>
      </c>
      <c r="G26" s="72">
        <f t="shared" si="1"/>
        <v>612.4261113292043</v>
      </c>
      <c r="H26" s="72">
        <f t="shared" si="1"/>
        <v>684.7132080639774</v>
      </c>
      <c r="I26" s="72">
        <f t="shared" si="1"/>
        <v>750.0657389567372</v>
      </c>
      <c r="J26" s="72">
        <f t="shared" si="1"/>
        <v>810.1635934897155</v>
      </c>
      <c r="K26" s="72">
        <f t="shared" si="1"/>
        <v>866.1013125931756</v>
      </c>
      <c r="L26" s="72">
        <f t="shared" si="1"/>
        <v>918.6391669938063</v>
      </c>
      <c r="M26" s="72">
        <f t="shared" si="1"/>
        <v>968.3307051800678</v>
      </c>
      <c r="N26" s="70">
        <f t="shared" si="1"/>
        <v>1060.7531407040153</v>
      </c>
      <c r="P26" s="375" t="s">
        <v>102</v>
      </c>
      <c r="Q26" s="54">
        <f>((0.278*$J$17*POWER(10,-6)*(($Q$18*$T$18)+($Q$19*T21)+($Q$20*$T$20))))</f>
        <v>0.00044660700000000007</v>
      </c>
      <c r="R26" s="55"/>
      <c r="S26" s="56" t="s">
        <v>171</v>
      </c>
      <c r="T26" s="57"/>
      <c r="U26" s="59"/>
    </row>
    <row r="27" spans="2:20" ht="39.75" customHeight="1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T27" s="168"/>
    </row>
    <row r="28" spans="2:21" ht="19.5" customHeight="1">
      <c r="B28" s="82"/>
      <c r="C28" s="6" t="s">
        <v>31</v>
      </c>
      <c r="D28" s="920">
        <f>P33</f>
        <v>5521.395867781495</v>
      </c>
      <c r="E28" s="920"/>
      <c r="F28" s="3" t="s">
        <v>33</v>
      </c>
      <c r="G28" s="183" t="s">
        <v>98</v>
      </c>
      <c r="H28" s="5" t="s">
        <v>55</v>
      </c>
      <c r="I28" s="5"/>
      <c r="J28" s="5"/>
      <c r="K28" s="5"/>
      <c r="L28" s="5"/>
      <c r="M28" s="5"/>
      <c r="N28" s="83"/>
      <c r="R28" s="921" t="s">
        <v>168</v>
      </c>
      <c r="S28" s="1068"/>
      <c r="T28" s="921" t="s">
        <v>169</v>
      </c>
      <c r="U28" s="921"/>
    </row>
    <row r="29" spans="2:21" ht="6.75" customHeight="1">
      <c r="B29" s="8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3"/>
      <c r="R29" s="376"/>
      <c r="S29" s="377"/>
      <c r="T29" s="1069"/>
      <c r="U29" s="1069"/>
    </row>
    <row r="30" spans="2:21" ht="9" customHeight="1">
      <c r="B30" s="8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83"/>
      <c r="R30" s="5"/>
      <c r="S30" s="359"/>
      <c r="T30" s="1069"/>
      <c r="U30" s="1069"/>
    </row>
    <row r="31" spans="2:20" ht="18" customHeight="1">
      <c r="B31" s="82"/>
      <c r="C31" s="6" t="s">
        <v>31</v>
      </c>
      <c r="D31" s="5" t="s">
        <v>25</v>
      </c>
      <c r="E31" s="5"/>
      <c r="F31" s="5"/>
      <c r="G31" s="5"/>
      <c r="H31" s="5"/>
      <c r="I31" s="5"/>
      <c r="J31" s="5"/>
      <c r="K31" s="5"/>
      <c r="L31" s="5"/>
      <c r="M31" s="5"/>
      <c r="N31" s="83"/>
      <c r="P31" s="97">
        <f>P23</f>
        <v>1.9340345445665024</v>
      </c>
      <c r="S31" s="1"/>
      <c r="T31" s="1"/>
    </row>
    <row r="32" spans="2:20" ht="18" customHeight="1">
      <c r="B32" s="82"/>
      <c r="C32" s="6" t="s">
        <v>32</v>
      </c>
      <c r="D32" s="5" t="s">
        <v>26</v>
      </c>
      <c r="E32" s="5"/>
      <c r="F32" s="5"/>
      <c r="G32" s="5"/>
      <c r="H32" s="5"/>
      <c r="I32" s="5"/>
      <c r="J32" s="5"/>
      <c r="K32" s="5"/>
      <c r="L32" s="5"/>
      <c r="M32" s="5"/>
      <c r="N32" s="83"/>
      <c r="P32" s="98">
        <f>((0.278*$J$17*POWER(10,-6)))</f>
        <v>3.5028000000000004E-05</v>
      </c>
      <c r="S32" s="1"/>
      <c r="T32" s="1"/>
    </row>
    <row r="33" spans="2:20" ht="18" customHeight="1">
      <c r="B33" s="82"/>
      <c r="C33" s="6" t="s">
        <v>29</v>
      </c>
      <c r="D33" s="5" t="s">
        <v>27</v>
      </c>
      <c r="E33" s="5"/>
      <c r="F33" s="5"/>
      <c r="G33" s="5"/>
      <c r="H33" s="1067" t="s">
        <v>56</v>
      </c>
      <c r="I33" s="1067"/>
      <c r="J33" s="5"/>
      <c r="K33" s="118">
        <f>T18</f>
        <v>12</v>
      </c>
      <c r="L33" s="5"/>
      <c r="M33" s="5"/>
      <c r="N33" s="83"/>
      <c r="P33" s="102">
        <f>(P31/P32)/10</f>
        <v>5521.395867781495</v>
      </c>
      <c r="S33" s="1"/>
      <c r="T33" s="1"/>
    </row>
    <row r="34" spans="2:20" ht="18" customHeight="1">
      <c r="B34" s="82"/>
      <c r="C34" s="6" t="s">
        <v>29</v>
      </c>
      <c r="D34" s="5" t="s">
        <v>27</v>
      </c>
      <c r="E34" s="5"/>
      <c r="F34" s="5"/>
      <c r="G34" s="5"/>
      <c r="H34" s="1067" t="s">
        <v>57</v>
      </c>
      <c r="I34" s="1067"/>
      <c r="J34" s="5"/>
      <c r="K34" s="118">
        <f>T19</f>
        <v>6</v>
      </c>
      <c r="L34" s="5"/>
      <c r="M34" s="5"/>
      <c r="N34" s="83"/>
      <c r="P34" s="99"/>
      <c r="S34" s="1"/>
      <c r="T34" s="1"/>
    </row>
    <row r="35" spans="2:20" ht="18" customHeight="1">
      <c r="B35" s="82"/>
      <c r="C35" s="6" t="s">
        <v>58</v>
      </c>
      <c r="D35" s="5" t="s">
        <v>59</v>
      </c>
      <c r="E35" s="5"/>
      <c r="F35" s="5"/>
      <c r="G35" s="5"/>
      <c r="H35" s="5"/>
      <c r="I35" s="5"/>
      <c r="J35" s="5"/>
      <c r="K35" s="118">
        <f>T20</f>
        <v>3</v>
      </c>
      <c r="L35" s="5"/>
      <c r="M35" s="5"/>
      <c r="N35" s="83"/>
      <c r="P35" s="100"/>
      <c r="S35" s="1"/>
      <c r="T35" s="1"/>
    </row>
    <row r="36" spans="2:20" ht="18" customHeight="1">
      <c r="B36" s="82"/>
      <c r="C36" s="6"/>
      <c r="D36" s="5"/>
      <c r="E36" s="5"/>
      <c r="F36" s="5"/>
      <c r="G36" s="5"/>
      <c r="H36" s="5"/>
      <c r="I36" s="5"/>
      <c r="J36" s="5"/>
      <c r="K36" s="96"/>
      <c r="L36" s="5"/>
      <c r="M36" s="5"/>
      <c r="N36" s="83"/>
      <c r="Q36" s="101"/>
      <c r="S36" s="1"/>
      <c r="T36" s="1"/>
    </row>
    <row r="37" spans="2:20" ht="15" customHeight="1">
      <c r="B37" s="82"/>
      <c r="C37" s="6"/>
      <c r="D37" s="5"/>
      <c r="E37" s="5"/>
      <c r="F37" s="5"/>
      <c r="G37" s="5"/>
      <c r="H37" s="5"/>
      <c r="I37" s="5"/>
      <c r="J37" s="5"/>
      <c r="K37" s="96"/>
      <c r="L37" s="5"/>
      <c r="M37" s="5"/>
      <c r="N37" s="83"/>
      <c r="Q37" s="101"/>
      <c r="S37" s="1"/>
      <c r="T37" s="1"/>
    </row>
    <row r="38" spans="2:20" ht="15" customHeight="1">
      <c r="B38" s="82"/>
      <c r="C38" s="6"/>
      <c r="D38" s="5"/>
      <c r="E38" s="5"/>
      <c r="F38" s="5"/>
      <c r="G38" s="5"/>
      <c r="H38" s="5"/>
      <c r="I38" s="5"/>
      <c r="J38" s="5"/>
      <c r="K38" s="96"/>
      <c r="L38" s="5"/>
      <c r="M38" s="5"/>
      <c r="N38" s="83"/>
      <c r="Q38" s="101"/>
      <c r="S38" s="1"/>
      <c r="T38" s="1"/>
    </row>
    <row r="39" spans="2:20" ht="15" customHeight="1">
      <c r="B39" s="82"/>
      <c r="C39" s="6"/>
      <c r="D39" s="5"/>
      <c r="E39" s="5"/>
      <c r="F39" s="5"/>
      <c r="G39" s="5"/>
      <c r="H39" s="5"/>
      <c r="I39" s="5"/>
      <c r="J39" s="5"/>
      <c r="K39" s="96"/>
      <c r="L39" s="5"/>
      <c r="M39" s="5"/>
      <c r="N39" s="83"/>
      <c r="Q39" s="101"/>
      <c r="S39" s="1"/>
      <c r="T39" s="1"/>
    </row>
    <row r="40" spans="2:20" ht="15" customHeight="1">
      <c r="B40" s="82"/>
      <c r="C40" s="6"/>
      <c r="D40" s="5"/>
      <c r="E40" s="5"/>
      <c r="F40" s="5"/>
      <c r="G40" s="5"/>
      <c r="H40" s="5"/>
      <c r="I40" s="5"/>
      <c r="J40" s="5"/>
      <c r="K40" s="96"/>
      <c r="L40" s="5"/>
      <c r="M40" s="5"/>
      <c r="N40" s="83"/>
      <c r="Q40" s="101"/>
      <c r="S40" s="1"/>
      <c r="T40" s="1"/>
    </row>
    <row r="41" spans="2:20" ht="15" customHeight="1">
      <c r="B41" s="82"/>
      <c r="C41" s="6"/>
      <c r="D41" s="5"/>
      <c r="E41" s="5"/>
      <c r="F41" s="5"/>
      <c r="G41" s="5"/>
      <c r="H41" s="5"/>
      <c r="I41" s="5"/>
      <c r="J41" s="5"/>
      <c r="K41" s="96"/>
      <c r="L41" s="5"/>
      <c r="M41" s="5"/>
      <c r="N41" s="83"/>
      <c r="Q41" s="101"/>
      <c r="S41" s="1"/>
      <c r="T41" s="1"/>
    </row>
    <row r="42" spans="2:20" ht="15" customHeight="1">
      <c r="B42" s="82"/>
      <c r="C42" s="6"/>
      <c r="D42" s="5"/>
      <c r="E42" s="5"/>
      <c r="F42" s="5"/>
      <c r="G42" s="5"/>
      <c r="H42" s="5"/>
      <c r="I42" s="5"/>
      <c r="J42" s="5"/>
      <c r="K42" s="96"/>
      <c r="L42" s="5"/>
      <c r="M42" s="5"/>
      <c r="N42" s="83"/>
      <c r="Q42" s="101"/>
      <c r="S42" s="1"/>
      <c r="T42" s="1"/>
    </row>
    <row r="43" spans="2:20" ht="15" customHeight="1">
      <c r="B43" s="8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83"/>
      <c r="S43" s="1"/>
      <c r="T43" s="1"/>
    </row>
    <row r="44" spans="2:20" ht="15" customHeight="1">
      <c r="B44" s="8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85"/>
      <c r="S44" s="1"/>
      <c r="T44" s="1"/>
    </row>
  </sheetData>
  <sheetProtection/>
  <mergeCells count="35">
    <mergeCell ref="V18:AI18"/>
    <mergeCell ref="V19:AI19"/>
    <mergeCell ref="F3:N3"/>
    <mergeCell ref="F2:N2"/>
    <mergeCell ref="F4:N4"/>
    <mergeCell ref="F5:N5"/>
    <mergeCell ref="C10:L10"/>
    <mergeCell ref="B8:N8"/>
    <mergeCell ref="B7:N7"/>
    <mergeCell ref="S16:U17"/>
    <mergeCell ref="B2:E5"/>
    <mergeCell ref="T28:U28"/>
    <mergeCell ref="B21:B22"/>
    <mergeCell ref="D22:D23"/>
    <mergeCell ref="C12:L12"/>
    <mergeCell ref="C20:N21"/>
    <mergeCell ref="I14:J14"/>
    <mergeCell ref="K14:M14"/>
    <mergeCell ref="M22:M23"/>
    <mergeCell ref="C22:C23"/>
    <mergeCell ref="T29:U30"/>
    <mergeCell ref="G22:G23"/>
    <mergeCell ref="I22:I23"/>
    <mergeCell ref="J22:J23"/>
    <mergeCell ref="R25:U25"/>
    <mergeCell ref="N22:N23"/>
    <mergeCell ref="H22:H23"/>
    <mergeCell ref="H34:I34"/>
    <mergeCell ref="R28:S28"/>
    <mergeCell ref="D28:E28"/>
    <mergeCell ref="E22:E23"/>
    <mergeCell ref="F22:F23"/>
    <mergeCell ref="H33:I33"/>
    <mergeCell ref="K22:K23"/>
    <mergeCell ref="L22:L23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3"/>
  <legacyDrawing r:id="rId2"/>
  <oleObjects>
    <oleObject progId="Equation.3" shapeId="2470886" r:id="rId1"/>
  </oleObjects>
</worksheet>
</file>

<file path=xl/worksheets/sheet35.xml><?xml version="1.0" encoding="utf-8"?>
<worksheet xmlns="http://schemas.openxmlformats.org/spreadsheetml/2006/main" xmlns:r="http://schemas.openxmlformats.org/officeDocument/2006/relationships">
  <dimension ref="B2:L98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3.28125" style="2" customWidth="1"/>
    <col min="2" max="3" width="12.421875" style="2" customWidth="1"/>
    <col min="4" max="4" width="6.7109375" style="2" customWidth="1"/>
    <col min="5" max="6" width="9.140625" style="2" customWidth="1"/>
    <col min="7" max="7" width="6.7109375" style="2" customWidth="1"/>
    <col min="8" max="9" width="9.140625" style="2" customWidth="1"/>
    <col min="10" max="10" width="11.28125" style="2" customWidth="1"/>
    <col min="11" max="11" width="7.8515625" style="2" customWidth="1"/>
    <col min="12" max="12" width="5.28125" style="2" customWidth="1"/>
    <col min="13" max="16384" width="9.140625" style="2" customWidth="1"/>
  </cols>
  <sheetData>
    <row r="1" ht="13.5" thickBot="1"/>
    <row r="2" spans="2:10" ht="12.75">
      <c r="B2" s="1147" t="s">
        <v>244</v>
      </c>
      <c r="C2" s="1148"/>
      <c r="D2" s="1148"/>
      <c r="E2" s="1148"/>
      <c r="F2" s="1148"/>
      <c r="G2" s="1148"/>
      <c r="H2" s="1148"/>
      <c r="I2" s="1148"/>
      <c r="J2" s="1149"/>
    </row>
    <row r="3" spans="2:10" ht="12.75">
      <c r="B3" s="1175"/>
      <c r="C3" s="823"/>
      <c r="D3" s="823"/>
      <c r="E3" s="823"/>
      <c r="F3" s="823"/>
      <c r="G3" s="823"/>
      <c r="H3" s="823"/>
      <c r="I3" s="823"/>
      <c r="J3" s="1176"/>
    </row>
    <row r="4" spans="2:10" ht="12.75">
      <c r="B4" s="510"/>
      <c r="C4" s="5"/>
      <c r="D4" s="511"/>
      <c r="E4" s="1143" t="s">
        <v>88</v>
      </c>
      <c r="F4" s="1144"/>
      <c r="G4" s="512"/>
      <c r="H4" s="1177" t="s">
        <v>240</v>
      </c>
      <c r="I4" s="1177"/>
      <c r="J4" s="513"/>
    </row>
    <row r="5" spans="2:10" ht="12.75">
      <c r="B5" s="510"/>
      <c r="C5" s="5"/>
      <c r="D5" s="511"/>
      <c r="E5" s="5"/>
      <c r="F5" s="514"/>
      <c r="G5" s="5"/>
      <c r="H5" s="5"/>
      <c r="I5" s="5"/>
      <c r="J5" s="515"/>
    </row>
    <row r="6" spans="2:11" ht="12.75">
      <c r="B6" s="510"/>
      <c r="C6" s="5"/>
      <c r="D6" s="516"/>
      <c r="E6" s="516"/>
      <c r="F6" s="516"/>
      <c r="G6" s="516"/>
      <c r="H6" s="516"/>
      <c r="I6" s="516"/>
      <c r="J6" s="517"/>
      <c r="K6" s="518"/>
    </row>
    <row r="7" spans="2:11" ht="12.75">
      <c r="B7" s="510"/>
      <c r="C7" s="5"/>
      <c r="D7" s="5"/>
      <c r="E7" s="5"/>
      <c r="F7" s="519"/>
      <c r="G7" s="5"/>
      <c r="H7" s="5"/>
      <c r="I7" s="5"/>
      <c r="J7" s="45"/>
      <c r="K7" s="380"/>
    </row>
    <row r="8" spans="2:11" ht="12.75">
      <c r="B8" s="510"/>
      <c r="C8" s="5"/>
      <c r="D8" s="5"/>
      <c r="E8" s="5"/>
      <c r="F8" s="520"/>
      <c r="G8" s="5"/>
      <c r="H8" s="5"/>
      <c r="I8" s="5"/>
      <c r="J8" s="45"/>
      <c r="K8" s="380"/>
    </row>
    <row r="9" spans="2:10" ht="12.75">
      <c r="B9" s="510"/>
      <c r="C9" s="5"/>
      <c r="D9" s="5"/>
      <c r="E9" s="5"/>
      <c r="F9" s="520"/>
      <c r="G9" s="1178" t="s">
        <v>2</v>
      </c>
      <c r="H9" s="5"/>
      <c r="I9" s="5"/>
      <c r="J9" s="45"/>
    </row>
    <row r="10" spans="2:10" ht="12.75">
      <c r="B10" s="510"/>
      <c r="C10" s="5"/>
      <c r="D10" s="5"/>
      <c r="E10" s="5"/>
      <c r="F10" s="520"/>
      <c r="G10" s="1178"/>
      <c r="H10" s="5"/>
      <c r="I10" s="5"/>
      <c r="J10" s="45"/>
    </row>
    <row r="11" spans="2:10" ht="12.75">
      <c r="B11" s="510"/>
      <c r="C11" s="5"/>
      <c r="D11" s="5"/>
      <c r="E11" s="5"/>
      <c r="F11" s="520"/>
      <c r="G11" s="5"/>
      <c r="H11" s="5"/>
      <c r="I11" s="5"/>
      <c r="J11" s="45"/>
    </row>
    <row r="12" spans="2:10" ht="12.75">
      <c r="B12" s="510"/>
      <c r="C12" s="5"/>
      <c r="D12" s="5"/>
      <c r="E12" s="5"/>
      <c r="F12" s="520"/>
      <c r="G12" s="5"/>
      <c r="H12" s="5"/>
      <c r="I12" s="5"/>
      <c r="J12" s="45"/>
    </row>
    <row r="13" spans="2:10" ht="12.75">
      <c r="B13" s="510"/>
      <c r="C13" s="5"/>
      <c r="D13" s="5"/>
      <c r="E13" s="5"/>
      <c r="F13" s="5"/>
      <c r="G13" s="5"/>
      <c r="H13" s="5"/>
      <c r="I13" s="5"/>
      <c r="J13" s="45"/>
    </row>
    <row r="14" spans="2:10" ht="16.5" customHeight="1">
      <c r="B14" s="521"/>
      <c r="C14" s="522"/>
      <c r="D14" s="1179" t="s">
        <v>89</v>
      </c>
      <c r="E14" s="1179"/>
      <c r="F14" s="1179"/>
      <c r="G14" s="522"/>
      <c r="H14" s="181" t="s">
        <v>90</v>
      </c>
      <c r="I14" s="1180" t="s">
        <v>91</v>
      </c>
      <c r="J14" s="1181"/>
    </row>
    <row r="15" spans="2:10" ht="28.5" customHeight="1">
      <c r="B15" s="523" t="s">
        <v>92</v>
      </c>
      <c r="C15" s="182" t="s">
        <v>93</v>
      </c>
      <c r="D15" s="182" t="s">
        <v>88</v>
      </c>
      <c r="E15" s="182" t="s">
        <v>240</v>
      </c>
      <c r="F15" s="182" t="s">
        <v>2</v>
      </c>
      <c r="G15" s="578" t="s">
        <v>260</v>
      </c>
      <c r="H15" s="182" t="s">
        <v>94</v>
      </c>
      <c r="I15" s="1179" t="s">
        <v>95</v>
      </c>
      <c r="J15" s="1182"/>
    </row>
    <row r="16" spans="2:10" ht="13.5" customHeight="1">
      <c r="B16" s="524" t="s">
        <v>251</v>
      </c>
      <c r="C16" s="525" t="s">
        <v>261</v>
      </c>
      <c r="D16" s="526">
        <v>0.045</v>
      </c>
      <c r="E16" s="526">
        <v>0.355</v>
      </c>
      <c r="F16" s="526">
        <v>0.15</v>
      </c>
      <c r="G16" s="579">
        <v>70</v>
      </c>
      <c r="H16" s="527">
        <f aca="true" t="shared" si="0" ref="H16:H37">((D16+E16)*F16)/2</f>
        <v>0.029999999999999995</v>
      </c>
      <c r="I16" s="1170">
        <f aca="true" t="shared" si="1" ref="I16:I37">(SQRT(POWER(D16,2)+POWER(F16,2))+SQRT(POWER(E16,2)+POWER(F16,2)))</f>
        <v>0.5419940110845209</v>
      </c>
      <c r="J16" s="1171"/>
    </row>
    <row r="17" spans="2:10" ht="13.5" customHeight="1">
      <c r="B17" s="524" t="s">
        <v>251</v>
      </c>
      <c r="C17" s="525" t="s">
        <v>96</v>
      </c>
      <c r="D17" s="528">
        <v>0.06</v>
      </c>
      <c r="E17" s="528">
        <v>0.34</v>
      </c>
      <c r="F17" s="528">
        <v>0.2</v>
      </c>
      <c r="G17" s="580">
        <v>70</v>
      </c>
      <c r="H17" s="527">
        <f t="shared" si="0"/>
        <v>0.04000000000000001</v>
      </c>
      <c r="I17" s="1170">
        <f t="shared" si="1"/>
        <v>0.6032677886445315</v>
      </c>
      <c r="J17" s="1171"/>
    </row>
    <row r="18" spans="2:10" ht="13.5" customHeight="1">
      <c r="B18" s="529" t="s">
        <v>251</v>
      </c>
      <c r="C18" s="530" t="s">
        <v>262</v>
      </c>
      <c r="D18" s="528">
        <v>0.045</v>
      </c>
      <c r="E18" s="528">
        <v>0.455</v>
      </c>
      <c r="F18" s="528">
        <v>0.15</v>
      </c>
      <c r="G18" s="580">
        <v>80</v>
      </c>
      <c r="H18" s="527">
        <f t="shared" si="0"/>
        <v>0.0375</v>
      </c>
      <c r="I18" s="1170">
        <f t="shared" si="1"/>
        <v>0.6356922722820466</v>
      </c>
      <c r="J18" s="1171"/>
    </row>
    <row r="19" spans="2:10" ht="13.5" customHeight="1">
      <c r="B19" s="529" t="s">
        <v>251</v>
      </c>
      <c r="C19" s="530" t="s">
        <v>263</v>
      </c>
      <c r="D19" s="528">
        <v>0.06</v>
      </c>
      <c r="E19" s="528">
        <v>0.44</v>
      </c>
      <c r="F19" s="528">
        <v>0.2</v>
      </c>
      <c r="G19" s="580">
        <v>80</v>
      </c>
      <c r="H19" s="527">
        <f t="shared" si="0"/>
        <v>0.05</v>
      </c>
      <c r="I19" s="1170">
        <f t="shared" si="1"/>
        <v>0.6921279691219939</v>
      </c>
      <c r="J19" s="1171"/>
    </row>
    <row r="20" spans="2:10" ht="13.5" customHeight="1">
      <c r="B20" s="529" t="s">
        <v>251</v>
      </c>
      <c r="C20" s="530" t="s">
        <v>264</v>
      </c>
      <c r="D20" s="528">
        <v>0.045</v>
      </c>
      <c r="E20" s="528">
        <v>0.555</v>
      </c>
      <c r="F20" s="528">
        <v>0.15</v>
      </c>
      <c r="G20" s="580">
        <v>90</v>
      </c>
      <c r="H20" s="527">
        <f t="shared" si="0"/>
        <v>0.045000000000000005</v>
      </c>
      <c r="I20" s="1170">
        <f t="shared" si="1"/>
        <v>0.7315176345357624</v>
      </c>
      <c r="J20" s="1171"/>
    </row>
    <row r="21" spans="2:10" ht="13.5" customHeight="1">
      <c r="B21" s="529" t="s">
        <v>251</v>
      </c>
      <c r="C21" s="530" t="s">
        <v>246</v>
      </c>
      <c r="D21" s="528">
        <v>0.06</v>
      </c>
      <c r="E21" s="528">
        <v>0.54</v>
      </c>
      <c r="F21" s="528">
        <v>0.2</v>
      </c>
      <c r="G21" s="580">
        <v>90</v>
      </c>
      <c r="H21" s="527">
        <f t="shared" si="0"/>
        <v>0.06000000000000001</v>
      </c>
      <c r="I21" s="1170">
        <f t="shared" si="1"/>
        <v>0.7846533321337298</v>
      </c>
      <c r="J21" s="1171"/>
    </row>
    <row r="22" spans="2:10" ht="13.5" customHeight="1">
      <c r="B22" s="573"/>
      <c r="C22" s="574"/>
      <c r="D22" s="575"/>
      <c r="E22" s="575"/>
      <c r="F22" s="575"/>
      <c r="G22" s="576"/>
      <c r="H22" s="577">
        <f t="shared" si="0"/>
        <v>0</v>
      </c>
      <c r="I22" s="1168">
        <f t="shared" si="1"/>
        <v>0</v>
      </c>
      <c r="J22" s="1169"/>
    </row>
    <row r="23" spans="2:10" ht="13.5" customHeight="1">
      <c r="B23" s="573"/>
      <c r="C23" s="574"/>
      <c r="D23" s="575"/>
      <c r="E23" s="575"/>
      <c r="F23" s="575"/>
      <c r="G23" s="576"/>
      <c r="H23" s="577">
        <f t="shared" si="0"/>
        <v>0</v>
      </c>
      <c r="I23" s="1168">
        <f t="shared" si="1"/>
        <v>0</v>
      </c>
      <c r="J23" s="1169"/>
    </row>
    <row r="24" spans="2:10" ht="13.5" customHeight="1">
      <c r="B24" s="529" t="s">
        <v>251</v>
      </c>
      <c r="C24" s="531" t="s">
        <v>265</v>
      </c>
      <c r="D24" s="528">
        <v>0.15</v>
      </c>
      <c r="E24" s="528">
        <v>0.35</v>
      </c>
      <c r="F24" s="528">
        <v>0.15</v>
      </c>
      <c r="G24" s="581">
        <v>60</v>
      </c>
      <c r="H24" s="532">
        <f t="shared" si="0"/>
        <v>0.0375</v>
      </c>
      <c r="I24" s="1160">
        <f t="shared" si="1"/>
        <v>0.5929206896491597</v>
      </c>
      <c r="J24" s="1161"/>
    </row>
    <row r="25" spans="2:10" ht="13.5" customHeight="1">
      <c r="B25" s="524" t="s">
        <v>251</v>
      </c>
      <c r="C25" s="531" t="s">
        <v>245</v>
      </c>
      <c r="D25" s="528">
        <v>0.2</v>
      </c>
      <c r="E25" s="528">
        <v>0.4</v>
      </c>
      <c r="F25" s="528">
        <v>0.2</v>
      </c>
      <c r="G25" s="581">
        <v>60</v>
      </c>
      <c r="H25" s="532">
        <f t="shared" si="0"/>
        <v>0.06000000000000001</v>
      </c>
      <c r="I25" s="1166">
        <f t="shared" si="1"/>
        <v>0.730056307974577</v>
      </c>
      <c r="J25" s="1167"/>
    </row>
    <row r="26" spans="2:10" ht="13.5" customHeight="1">
      <c r="B26" s="533" t="s">
        <v>251</v>
      </c>
      <c r="C26" s="534" t="s">
        <v>266</v>
      </c>
      <c r="D26" s="535">
        <v>0.15</v>
      </c>
      <c r="E26" s="535">
        <v>0.45</v>
      </c>
      <c r="F26" s="535">
        <v>0.15</v>
      </c>
      <c r="G26" s="581">
        <v>70</v>
      </c>
      <c r="H26" s="532">
        <f t="shared" si="0"/>
        <v>0.045</v>
      </c>
      <c r="I26" s="1166">
        <f t="shared" si="1"/>
        <v>0.6864736833812212</v>
      </c>
      <c r="J26" s="1167"/>
    </row>
    <row r="27" spans="2:10" ht="13.5" customHeight="1">
      <c r="B27" s="533" t="s">
        <v>251</v>
      </c>
      <c r="C27" s="534" t="s">
        <v>267</v>
      </c>
      <c r="D27" s="535">
        <v>0.2</v>
      </c>
      <c r="E27" s="535">
        <v>0.4</v>
      </c>
      <c r="F27" s="535">
        <v>0.2</v>
      </c>
      <c r="G27" s="581">
        <v>70</v>
      </c>
      <c r="H27" s="532">
        <f t="shared" si="0"/>
        <v>0.06000000000000001</v>
      </c>
      <c r="I27" s="1166">
        <f t="shared" si="1"/>
        <v>0.730056307974577</v>
      </c>
      <c r="J27" s="1167"/>
    </row>
    <row r="28" spans="2:10" ht="13.5" customHeight="1">
      <c r="B28" s="533" t="s">
        <v>251</v>
      </c>
      <c r="C28" s="534" t="s">
        <v>268</v>
      </c>
      <c r="D28" s="535">
        <v>0.15</v>
      </c>
      <c r="E28" s="535">
        <v>0.55</v>
      </c>
      <c r="F28" s="535">
        <v>0.15</v>
      </c>
      <c r="G28" s="581">
        <v>80</v>
      </c>
      <c r="H28" s="532">
        <f t="shared" si="0"/>
        <v>0.052500000000000005</v>
      </c>
      <c r="I28" s="1166">
        <f t="shared" si="1"/>
        <v>0.7822197469055333</v>
      </c>
      <c r="J28" s="1167"/>
    </row>
    <row r="29" spans="2:10" ht="13.5" customHeight="1">
      <c r="B29" s="533" t="s">
        <v>251</v>
      </c>
      <c r="C29" s="534" t="s">
        <v>269</v>
      </c>
      <c r="D29" s="535">
        <v>0.3</v>
      </c>
      <c r="E29" s="535">
        <v>0.4</v>
      </c>
      <c r="F29" s="535">
        <v>0.3</v>
      </c>
      <c r="G29" s="581">
        <v>80</v>
      </c>
      <c r="H29" s="532">
        <f t="shared" si="0"/>
        <v>0.105</v>
      </c>
      <c r="I29" s="1166">
        <f t="shared" si="1"/>
        <v>0.9242640687119286</v>
      </c>
      <c r="J29" s="1167"/>
    </row>
    <row r="30" spans="2:10" ht="13.5" customHeight="1">
      <c r="B30" s="584"/>
      <c r="C30" s="585"/>
      <c r="D30" s="586"/>
      <c r="E30" s="586"/>
      <c r="F30" s="586"/>
      <c r="G30" s="582"/>
      <c r="H30" s="587">
        <f t="shared" si="0"/>
        <v>0</v>
      </c>
      <c r="I30" s="1162">
        <f t="shared" si="1"/>
        <v>0</v>
      </c>
      <c r="J30" s="1163"/>
    </row>
    <row r="31" spans="2:10" ht="13.5" customHeight="1">
      <c r="B31" s="584"/>
      <c r="C31" s="585"/>
      <c r="D31" s="586"/>
      <c r="E31" s="586"/>
      <c r="F31" s="586"/>
      <c r="G31" s="582"/>
      <c r="H31" s="587">
        <f t="shared" si="0"/>
        <v>0</v>
      </c>
      <c r="I31" s="1162">
        <f t="shared" si="1"/>
        <v>0</v>
      </c>
      <c r="J31" s="1163"/>
    </row>
    <row r="32" spans="2:10" ht="13.5" customHeight="1" thickBot="1">
      <c r="B32" s="536"/>
      <c r="C32" s="537"/>
      <c r="D32" s="538"/>
      <c r="E32" s="538"/>
      <c r="F32" s="538"/>
      <c r="G32" s="583"/>
      <c r="H32" s="539">
        <f t="shared" si="0"/>
        <v>0</v>
      </c>
      <c r="I32" s="1164">
        <f t="shared" si="1"/>
        <v>0</v>
      </c>
      <c r="J32" s="1165"/>
    </row>
    <row r="33" spans="2:10" ht="13.5" customHeight="1" hidden="1">
      <c r="B33" s="540"/>
      <c r="C33" s="541"/>
      <c r="D33" s="542"/>
      <c r="E33" s="542"/>
      <c r="F33" s="542"/>
      <c r="G33" s="543"/>
      <c r="H33" s="544">
        <f t="shared" si="0"/>
        <v>0</v>
      </c>
      <c r="I33" s="1158">
        <f t="shared" si="1"/>
        <v>0</v>
      </c>
      <c r="J33" s="1158"/>
    </row>
    <row r="34" spans="2:10" ht="13.5" customHeight="1" hidden="1">
      <c r="B34" s="545"/>
      <c r="C34" s="546"/>
      <c r="D34" s="547"/>
      <c r="E34" s="547"/>
      <c r="F34" s="547"/>
      <c r="G34" s="548"/>
      <c r="H34" s="544">
        <f t="shared" si="0"/>
        <v>0</v>
      </c>
      <c r="I34" s="1158">
        <f t="shared" si="1"/>
        <v>0</v>
      </c>
      <c r="J34" s="1158"/>
    </row>
    <row r="35" spans="2:10" ht="13.5" customHeight="1" hidden="1">
      <c r="B35" s="545"/>
      <c r="C35" s="546"/>
      <c r="D35" s="547"/>
      <c r="E35" s="547"/>
      <c r="F35" s="547"/>
      <c r="G35" s="548"/>
      <c r="H35" s="544">
        <f t="shared" si="0"/>
        <v>0</v>
      </c>
      <c r="I35" s="1158">
        <f t="shared" si="1"/>
        <v>0</v>
      </c>
      <c r="J35" s="1158"/>
    </row>
    <row r="36" spans="2:10" ht="13.5" customHeight="1" hidden="1">
      <c r="B36" s="545"/>
      <c r="C36" s="546"/>
      <c r="D36" s="547"/>
      <c r="E36" s="547"/>
      <c r="F36" s="547"/>
      <c r="G36" s="548"/>
      <c r="H36" s="544">
        <f t="shared" si="0"/>
        <v>0</v>
      </c>
      <c r="I36" s="1158">
        <f t="shared" si="1"/>
        <v>0</v>
      </c>
      <c r="J36" s="1158"/>
    </row>
    <row r="37" spans="2:10" ht="13.5" customHeight="1" hidden="1">
      <c r="B37" s="549"/>
      <c r="C37" s="550"/>
      <c r="D37" s="551"/>
      <c r="E37" s="551"/>
      <c r="F37" s="551"/>
      <c r="G37" s="552"/>
      <c r="H37" s="553">
        <f t="shared" si="0"/>
        <v>0</v>
      </c>
      <c r="I37" s="1159">
        <f t="shared" si="1"/>
        <v>0</v>
      </c>
      <c r="J37" s="1159"/>
    </row>
    <row r="38" spans="2:10" ht="13.5" customHeight="1">
      <c r="B38" s="168"/>
      <c r="C38" s="3"/>
      <c r="D38" s="554"/>
      <c r="E38" s="554"/>
      <c r="F38" s="554"/>
      <c r="G38" s="554"/>
      <c r="H38" s="555"/>
      <c r="I38" s="555"/>
      <c r="J38" s="555"/>
    </row>
    <row r="39" spans="2:10" ht="13.5" customHeight="1" thickBot="1">
      <c r="B39" s="168"/>
      <c r="C39" s="3"/>
      <c r="D39" s="554"/>
      <c r="E39" s="554"/>
      <c r="F39" s="554"/>
      <c r="G39" s="554"/>
      <c r="H39" s="555"/>
      <c r="I39" s="555"/>
      <c r="J39" s="555"/>
    </row>
    <row r="40" spans="2:10" ht="13.5" customHeight="1">
      <c r="B40" s="1147" t="s">
        <v>247</v>
      </c>
      <c r="C40" s="1148"/>
      <c r="D40" s="1148"/>
      <c r="E40" s="1148"/>
      <c r="F40" s="1148"/>
      <c r="G40" s="1148"/>
      <c r="H40" s="1148"/>
      <c r="I40" s="1148"/>
      <c r="J40" s="1149"/>
    </row>
    <row r="41" spans="2:10" ht="13.5" customHeight="1" thickBot="1">
      <c r="B41" s="1150"/>
      <c r="C41" s="1151"/>
      <c r="D41" s="1151"/>
      <c r="E41" s="1151"/>
      <c r="F41" s="1151"/>
      <c r="G41" s="1151"/>
      <c r="H41" s="1151"/>
      <c r="I41" s="1151"/>
      <c r="J41" s="1152"/>
    </row>
    <row r="42" spans="2:10" ht="13.5" customHeight="1">
      <c r="B42" s="556"/>
      <c r="C42" s="3"/>
      <c r="D42" s="554"/>
      <c r="E42" s="554"/>
      <c r="F42" s="554"/>
      <c r="G42" s="554"/>
      <c r="H42" s="555"/>
      <c r="I42" s="555"/>
      <c r="J42" s="557"/>
    </row>
    <row r="43" spans="2:11" ht="13.5" customHeight="1">
      <c r="B43" s="556"/>
      <c r="C43" s="3"/>
      <c r="D43" s="554"/>
      <c r="E43" s="554"/>
      <c r="F43" s="554"/>
      <c r="G43" s="554"/>
      <c r="H43" s="555"/>
      <c r="I43" s="555"/>
      <c r="J43" s="557"/>
      <c r="K43" s="5"/>
    </row>
    <row r="44" spans="2:11" ht="13.5" customHeight="1">
      <c r="B44" s="556"/>
      <c r="C44" s="3"/>
      <c r="D44" s="1131" t="s">
        <v>88</v>
      </c>
      <c r="E44" s="1131"/>
      <c r="F44" s="1131"/>
      <c r="G44" s="1131"/>
      <c r="H44" s="555"/>
      <c r="I44" s="555"/>
      <c r="J44" s="557"/>
      <c r="K44" s="5"/>
    </row>
    <row r="45" spans="2:10" ht="13.5" customHeight="1">
      <c r="B45" s="556"/>
      <c r="C45" s="3"/>
      <c r="D45" s="558" t="s">
        <v>248</v>
      </c>
      <c r="E45" s="554"/>
      <c r="F45" s="554"/>
      <c r="G45" s="558" t="s">
        <v>248</v>
      </c>
      <c r="H45" s="555"/>
      <c r="I45" s="555"/>
      <c r="J45" s="557"/>
    </row>
    <row r="46" spans="2:10" ht="13.5" customHeight="1">
      <c r="B46" s="556"/>
      <c r="C46" s="3"/>
      <c r="D46" s="1137" t="s">
        <v>249</v>
      </c>
      <c r="E46" s="1138"/>
      <c r="F46" s="1145" t="s">
        <v>2</v>
      </c>
      <c r="G46" s="1136" t="s">
        <v>249</v>
      </c>
      <c r="H46" s="555"/>
      <c r="I46" s="555"/>
      <c r="J46" s="557"/>
    </row>
    <row r="47" spans="2:10" ht="13.5" customHeight="1">
      <c r="B47" s="556"/>
      <c r="C47" s="3"/>
      <c r="D47" s="1137"/>
      <c r="E47" s="1138"/>
      <c r="F47" s="1145"/>
      <c r="G47" s="1136"/>
      <c r="H47" s="555"/>
      <c r="I47" s="555"/>
      <c r="J47" s="557"/>
    </row>
    <row r="48" spans="2:10" ht="13.5" customHeight="1">
      <c r="B48" s="556"/>
      <c r="C48" s="3"/>
      <c r="D48" s="1137"/>
      <c r="E48" s="1138"/>
      <c r="F48" s="1145"/>
      <c r="G48" s="1136"/>
      <c r="H48" s="555"/>
      <c r="I48" s="555"/>
      <c r="J48" s="557"/>
    </row>
    <row r="49" spans="2:10" ht="13.5" customHeight="1">
      <c r="B49" s="556"/>
      <c r="C49" s="3"/>
      <c r="D49" s="1137"/>
      <c r="E49" s="1138"/>
      <c r="F49" s="1145"/>
      <c r="G49" s="1136"/>
      <c r="H49" s="555"/>
      <c r="I49" s="555"/>
      <c r="J49" s="557"/>
    </row>
    <row r="50" spans="2:10" ht="13.5" customHeight="1">
      <c r="B50" s="556"/>
      <c r="C50" s="3"/>
      <c r="D50" s="1137"/>
      <c r="E50" s="1139"/>
      <c r="F50" s="1146"/>
      <c r="G50" s="1136"/>
      <c r="H50" s="555"/>
      <c r="I50" s="555"/>
      <c r="J50" s="557"/>
    </row>
    <row r="51" spans="2:10" ht="13.5" customHeight="1">
      <c r="B51" s="556"/>
      <c r="C51" s="3"/>
      <c r="D51" s="554"/>
      <c r="E51" s="1132" t="s">
        <v>87</v>
      </c>
      <c r="F51" s="1132"/>
      <c r="G51" s="554"/>
      <c r="H51" s="555"/>
      <c r="I51" s="555"/>
      <c r="J51" s="557"/>
    </row>
    <row r="52" spans="2:10" ht="13.5" customHeight="1">
      <c r="B52" s="556"/>
      <c r="C52" s="3"/>
      <c r="D52" s="554"/>
      <c r="E52" s="554"/>
      <c r="F52" s="554"/>
      <c r="G52" s="554"/>
      <c r="H52" s="555"/>
      <c r="I52" s="555"/>
      <c r="J52" s="557"/>
    </row>
    <row r="53" spans="2:11" ht="12.75">
      <c r="B53" s="1117" t="s">
        <v>92</v>
      </c>
      <c r="C53" s="1104" t="s">
        <v>250</v>
      </c>
      <c r="D53" s="1104" t="s">
        <v>87</v>
      </c>
      <c r="E53" s="1104" t="s">
        <v>88</v>
      </c>
      <c r="F53" s="1104" t="s">
        <v>2</v>
      </c>
      <c r="G53" s="1104" t="s">
        <v>248</v>
      </c>
      <c r="H53" s="1104" t="s">
        <v>94</v>
      </c>
      <c r="I53" s="1083" t="s">
        <v>95</v>
      </c>
      <c r="J53" s="1156"/>
      <c r="K53" s="1084" t="s">
        <v>153</v>
      </c>
    </row>
    <row r="54" spans="2:11" ht="12.75">
      <c r="B54" s="1119"/>
      <c r="C54" s="1105"/>
      <c r="D54" s="1105"/>
      <c r="E54" s="1105"/>
      <c r="F54" s="1105"/>
      <c r="G54" s="1105"/>
      <c r="H54" s="1105"/>
      <c r="I54" s="1085"/>
      <c r="J54" s="1157"/>
      <c r="K54" s="1086"/>
    </row>
    <row r="55" spans="2:11" ht="12.75">
      <c r="B55" s="1117" t="s">
        <v>251</v>
      </c>
      <c r="C55" s="1104" t="s">
        <v>252</v>
      </c>
      <c r="D55" s="502">
        <v>0.5</v>
      </c>
      <c r="E55" s="502">
        <v>0.75</v>
      </c>
      <c r="F55" s="502">
        <v>0.5</v>
      </c>
      <c r="G55" s="559">
        <v>0.125</v>
      </c>
      <c r="H55" s="560">
        <f aca="true" t="shared" si="2" ref="H55:H66">((E55+D55)/2)*F55</f>
        <v>0.3125</v>
      </c>
      <c r="I55" s="1125">
        <f aca="true" t="shared" si="3" ref="I55:I66">D55+2*SQRT((POWER(G55,2)+POWER(F55,2)))</f>
        <v>1.5307764064044151</v>
      </c>
      <c r="J55" s="1126"/>
      <c r="K55" s="1122">
        <v>0.25</v>
      </c>
    </row>
    <row r="56" spans="2:11" ht="12.75">
      <c r="B56" s="1118"/>
      <c r="C56" s="1120"/>
      <c r="D56" s="504">
        <v>0.75</v>
      </c>
      <c r="E56" s="504">
        <v>1</v>
      </c>
      <c r="F56" s="504">
        <v>0.5</v>
      </c>
      <c r="G56" s="561">
        <v>0.125</v>
      </c>
      <c r="H56" s="562">
        <f t="shared" si="2"/>
        <v>0.4375</v>
      </c>
      <c r="I56" s="1127">
        <f t="shared" si="3"/>
        <v>1.7807764064044151</v>
      </c>
      <c r="J56" s="1128"/>
      <c r="K56" s="1123"/>
    </row>
    <row r="57" spans="2:11" ht="12.75">
      <c r="B57" s="1119"/>
      <c r="C57" s="1105"/>
      <c r="D57" s="506">
        <v>1</v>
      </c>
      <c r="E57" s="506">
        <v>1.25</v>
      </c>
      <c r="F57" s="506">
        <v>0.5</v>
      </c>
      <c r="G57" s="563">
        <v>0.125</v>
      </c>
      <c r="H57" s="564">
        <f t="shared" si="2"/>
        <v>0.5625</v>
      </c>
      <c r="I57" s="1129">
        <f t="shared" si="3"/>
        <v>2.0307764064044154</v>
      </c>
      <c r="J57" s="1130"/>
      <c r="K57" s="1124"/>
    </row>
    <row r="58" spans="2:11" ht="12" customHeight="1">
      <c r="B58" s="1117" t="s">
        <v>251</v>
      </c>
      <c r="C58" s="1104" t="s">
        <v>253</v>
      </c>
      <c r="D58" s="1133">
        <v>1</v>
      </c>
      <c r="E58" s="1133">
        <v>2.2</v>
      </c>
      <c r="F58" s="1133">
        <v>0.6</v>
      </c>
      <c r="G58" s="1133">
        <v>0.6</v>
      </c>
      <c r="H58" s="1109">
        <f t="shared" si="2"/>
        <v>0.96</v>
      </c>
      <c r="I58" s="1092">
        <f t="shared" si="3"/>
        <v>2.6970562748477143</v>
      </c>
      <c r="J58" s="1093"/>
      <c r="K58" s="1153" t="s">
        <v>254</v>
      </c>
    </row>
    <row r="59" spans="2:11" ht="12" customHeight="1">
      <c r="B59" s="1118"/>
      <c r="C59" s="1120"/>
      <c r="D59" s="1134"/>
      <c r="E59" s="1134"/>
      <c r="F59" s="1134"/>
      <c r="G59" s="1134"/>
      <c r="H59" s="1110">
        <f t="shared" si="2"/>
        <v>0</v>
      </c>
      <c r="I59" s="1094">
        <f t="shared" si="3"/>
        <v>0</v>
      </c>
      <c r="J59" s="1095"/>
      <c r="K59" s="1154"/>
    </row>
    <row r="60" spans="2:11" ht="12" customHeight="1">
      <c r="B60" s="1119"/>
      <c r="C60" s="1105"/>
      <c r="D60" s="1135"/>
      <c r="E60" s="1135"/>
      <c r="F60" s="1135"/>
      <c r="G60" s="1135"/>
      <c r="H60" s="1111">
        <f t="shared" si="2"/>
        <v>0</v>
      </c>
      <c r="I60" s="1096">
        <f t="shared" si="3"/>
        <v>0</v>
      </c>
      <c r="J60" s="1097"/>
      <c r="K60" s="1155"/>
    </row>
    <row r="61" spans="2:12" ht="12.75">
      <c r="B61" s="1140" t="s">
        <v>251</v>
      </c>
      <c r="C61" s="1001" t="s">
        <v>270</v>
      </c>
      <c r="D61" s="1106">
        <v>0.9</v>
      </c>
      <c r="E61" s="1106">
        <v>1.5</v>
      </c>
      <c r="F61" s="1106">
        <v>0.3</v>
      </c>
      <c r="G61" s="1106">
        <v>0.3</v>
      </c>
      <c r="H61" s="1109">
        <f t="shared" si="2"/>
        <v>0.36</v>
      </c>
      <c r="I61" s="1092">
        <f t="shared" si="3"/>
        <v>1.748528137423857</v>
      </c>
      <c r="J61" s="1093"/>
      <c r="K61" s="1089" t="s">
        <v>254</v>
      </c>
      <c r="L61" s="1172" t="s">
        <v>271</v>
      </c>
    </row>
    <row r="62" spans="2:12" ht="12.75">
      <c r="B62" s="1141"/>
      <c r="C62" s="938"/>
      <c r="D62" s="1107"/>
      <c r="E62" s="1107"/>
      <c r="F62" s="1107"/>
      <c r="G62" s="1107"/>
      <c r="H62" s="1110">
        <f t="shared" si="2"/>
        <v>0</v>
      </c>
      <c r="I62" s="1094">
        <f t="shared" si="3"/>
        <v>0</v>
      </c>
      <c r="J62" s="1095"/>
      <c r="K62" s="1090"/>
      <c r="L62" s="1173"/>
    </row>
    <row r="63" spans="2:12" ht="12.75">
      <c r="B63" s="1142"/>
      <c r="C63" s="1002"/>
      <c r="D63" s="1108"/>
      <c r="E63" s="1108"/>
      <c r="F63" s="1108"/>
      <c r="G63" s="1108"/>
      <c r="H63" s="1111">
        <f t="shared" si="2"/>
        <v>0</v>
      </c>
      <c r="I63" s="1096">
        <f t="shared" si="3"/>
        <v>0</v>
      </c>
      <c r="J63" s="1097"/>
      <c r="K63" s="1091"/>
      <c r="L63" s="1173"/>
    </row>
    <row r="64" spans="2:12" ht="12.75">
      <c r="B64" s="1140" t="s">
        <v>251</v>
      </c>
      <c r="C64" s="1001" t="s">
        <v>272</v>
      </c>
      <c r="D64" s="1106">
        <v>0.6</v>
      </c>
      <c r="E64" s="1106">
        <v>1.2</v>
      </c>
      <c r="F64" s="1106">
        <v>0.3</v>
      </c>
      <c r="G64" s="1106">
        <v>0.3</v>
      </c>
      <c r="H64" s="1109">
        <f t="shared" si="2"/>
        <v>0.26999999999999996</v>
      </c>
      <c r="I64" s="1092">
        <f t="shared" si="3"/>
        <v>1.448528137423857</v>
      </c>
      <c r="J64" s="1093"/>
      <c r="K64" s="1089" t="s">
        <v>254</v>
      </c>
      <c r="L64" s="1173"/>
    </row>
    <row r="65" spans="2:12" ht="12.75">
      <c r="B65" s="1141"/>
      <c r="C65" s="938"/>
      <c r="D65" s="1107"/>
      <c r="E65" s="1107"/>
      <c r="F65" s="1107"/>
      <c r="G65" s="1107"/>
      <c r="H65" s="1110">
        <f t="shared" si="2"/>
        <v>0</v>
      </c>
      <c r="I65" s="1094">
        <f t="shared" si="3"/>
        <v>0</v>
      </c>
      <c r="J65" s="1095"/>
      <c r="K65" s="1090"/>
      <c r="L65" s="1173"/>
    </row>
    <row r="66" spans="2:12" ht="12.75">
      <c r="B66" s="1142"/>
      <c r="C66" s="1002"/>
      <c r="D66" s="1108"/>
      <c r="E66" s="1108"/>
      <c r="F66" s="1108"/>
      <c r="G66" s="1108"/>
      <c r="H66" s="1111">
        <f t="shared" si="2"/>
        <v>0</v>
      </c>
      <c r="I66" s="1096">
        <f t="shared" si="3"/>
        <v>0</v>
      </c>
      <c r="J66" s="1097"/>
      <c r="K66" s="1091"/>
      <c r="L66" s="1174"/>
    </row>
    <row r="67" spans="2:10" ht="12.75">
      <c r="B67" s="588"/>
      <c r="C67" s="589"/>
      <c r="D67" s="589"/>
      <c r="E67" s="589"/>
      <c r="F67" s="589"/>
      <c r="G67" s="589"/>
      <c r="H67" s="589"/>
      <c r="I67" s="1102"/>
      <c r="J67" s="1103"/>
    </row>
    <row r="68" spans="2:10" ht="12.75" hidden="1">
      <c r="B68" s="565"/>
      <c r="C68" s="566"/>
      <c r="D68" s="566"/>
      <c r="E68" s="566"/>
      <c r="F68" s="566"/>
      <c r="G68" s="566"/>
      <c r="H68" s="566"/>
      <c r="I68" s="1098"/>
      <c r="J68" s="1099"/>
    </row>
    <row r="69" spans="2:10" ht="12.75" hidden="1">
      <c r="B69" s="565"/>
      <c r="C69" s="566"/>
      <c r="D69" s="566"/>
      <c r="E69" s="566"/>
      <c r="F69" s="566"/>
      <c r="G69" s="566"/>
      <c r="H69" s="566"/>
      <c r="I69" s="1098"/>
      <c r="J69" s="1099"/>
    </row>
    <row r="70" spans="2:10" ht="12.75" hidden="1">
      <c r="B70" s="565"/>
      <c r="C70" s="566"/>
      <c r="D70" s="566"/>
      <c r="E70" s="566"/>
      <c r="F70" s="566"/>
      <c r="G70" s="566"/>
      <c r="H70" s="566"/>
      <c r="I70" s="1098"/>
      <c r="J70" s="1099"/>
    </row>
    <row r="71" spans="2:10" ht="12.75" hidden="1">
      <c r="B71" s="565"/>
      <c r="C71" s="566"/>
      <c r="D71" s="566"/>
      <c r="E71" s="566"/>
      <c r="F71" s="566"/>
      <c r="G71" s="566"/>
      <c r="H71" s="566"/>
      <c r="I71" s="1098"/>
      <c r="J71" s="1099"/>
    </row>
    <row r="72" spans="2:10" ht="12.75" hidden="1">
      <c r="B72" s="565"/>
      <c r="C72" s="566"/>
      <c r="D72" s="566"/>
      <c r="E72" s="566"/>
      <c r="F72" s="566"/>
      <c r="G72" s="566"/>
      <c r="H72" s="566"/>
      <c r="I72" s="1098"/>
      <c r="J72" s="1099"/>
    </row>
    <row r="73" spans="2:10" ht="13.5" thickBot="1">
      <c r="B73" s="567"/>
      <c r="C73" s="568"/>
      <c r="D73" s="568"/>
      <c r="E73" s="568"/>
      <c r="F73" s="568"/>
      <c r="G73" s="568"/>
      <c r="H73" s="569"/>
      <c r="I73" s="1100"/>
      <c r="J73" s="1101"/>
    </row>
    <row r="74" ht="13.5" thickBot="1">
      <c r="B74" s="126"/>
    </row>
    <row r="75" spans="2:10" ht="12.75">
      <c r="B75" s="1147" t="s">
        <v>273</v>
      </c>
      <c r="C75" s="1148"/>
      <c r="D75" s="1148"/>
      <c r="E75" s="1148"/>
      <c r="F75" s="1148"/>
      <c r="G75" s="1148"/>
      <c r="H75" s="1148"/>
      <c r="I75" s="1148"/>
      <c r="J75" s="1149"/>
    </row>
    <row r="76" spans="2:10" ht="13.5" thickBot="1">
      <c r="B76" s="1150"/>
      <c r="C76" s="1151"/>
      <c r="D76" s="1151"/>
      <c r="E76" s="1151"/>
      <c r="F76" s="1151"/>
      <c r="G76" s="1151"/>
      <c r="H76" s="1151"/>
      <c r="I76" s="1151"/>
      <c r="J76" s="1152"/>
    </row>
    <row r="77" spans="2:10" ht="12.75">
      <c r="B77" s="126"/>
      <c r="C77" s="126"/>
      <c r="D77" s="126"/>
      <c r="E77" s="126"/>
      <c r="F77" s="126"/>
      <c r="G77" s="126"/>
      <c r="H77" s="126"/>
      <c r="I77" s="126"/>
      <c r="J77" s="126"/>
    </row>
    <row r="78" spans="2:7" ht="12.75">
      <c r="B78" s="126"/>
      <c r="C78" s="1121" t="s">
        <v>2</v>
      </c>
      <c r="E78" s="1112"/>
      <c r="F78" s="882"/>
      <c r="G78" s="1113"/>
    </row>
    <row r="79" spans="2:7" ht="12.75">
      <c r="B79" s="126"/>
      <c r="C79" s="1121"/>
      <c r="E79" s="1112"/>
      <c r="F79" s="882"/>
      <c r="G79" s="1113"/>
    </row>
    <row r="80" spans="2:7" ht="12.75">
      <c r="B80" s="126"/>
      <c r="C80" s="1121"/>
      <c r="E80" s="1112"/>
      <c r="F80" s="882"/>
      <c r="G80" s="1113"/>
    </row>
    <row r="81" spans="2:7" ht="13.5" thickBot="1">
      <c r="B81" s="126"/>
      <c r="C81" s="1121"/>
      <c r="E81" s="1114"/>
      <c r="F81" s="1115"/>
      <c r="G81" s="1116"/>
    </row>
    <row r="82" spans="2:6" ht="12.75">
      <c r="B82" s="126"/>
      <c r="F82" s="1" t="s">
        <v>88</v>
      </c>
    </row>
    <row r="83" ht="12.75">
      <c r="B83" s="126"/>
    </row>
    <row r="84" spans="2:11" ht="12.75">
      <c r="B84" s="1104" t="s">
        <v>92</v>
      </c>
      <c r="C84" s="1104" t="s">
        <v>250</v>
      </c>
      <c r="D84" s="1104"/>
      <c r="E84" s="1104" t="s">
        <v>88</v>
      </c>
      <c r="F84" s="1104" t="s">
        <v>2</v>
      </c>
      <c r="G84" s="1104"/>
      <c r="H84" s="1104" t="s">
        <v>94</v>
      </c>
      <c r="I84" s="1083" t="s">
        <v>95</v>
      </c>
      <c r="J84" s="1084"/>
      <c r="K84" s="501"/>
    </row>
    <row r="85" spans="2:11" ht="12.75">
      <c r="B85" s="1105"/>
      <c r="C85" s="1105"/>
      <c r="D85" s="1105"/>
      <c r="E85" s="1105"/>
      <c r="F85" s="1105"/>
      <c r="G85" s="1105"/>
      <c r="H85" s="1105"/>
      <c r="I85" s="1085"/>
      <c r="J85" s="1086"/>
      <c r="K85" s="501"/>
    </row>
    <row r="86" spans="2:10" ht="12.75">
      <c r="B86" s="570"/>
      <c r="C86" s="566"/>
      <c r="D86" s="502"/>
      <c r="E86" s="502">
        <v>0.7</v>
      </c>
      <c r="F86" s="502">
        <v>0.35</v>
      </c>
      <c r="G86" s="502"/>
      <c r="H86" s="503">
        <f aca="true" t="shared" si="4" ref="H86:H91">(E86*F86)</f>
        <v>0.24499999999999997</v>
      </c>
      <c r="I86" s="1087">
        <f aca="true" t="shared" si="5" ref="I86:I91">(2*F86)+E86</f>
        <v>1.4</v>
      </c>
      <c r="J86" s="1088"/>
    </row>
    <row r="87" spans="2:10" ht="12.75">
      <c r="B87" s="570"/>
      <c r="C87" s="566"/>
      <c r="D87" s="504"/>
      <c r="E87" s="504">
        <v>0.7</v>
      </c>
      <c r="F87" s="504">
        <v>0.35</v>
      </c>
      <c r="G87" s="504"/>
      <c r="H87" s="505">
        <f t="shared" si="4"/>
        <v>0.24499999999999997</v>
      </c>
      <c r="I87" s="1079">
        <f t="shared" si="5"/>
        <v>1.4</v>
      </c>
      <c r="J87" s="1080"/>
    </row>
    <row r="88" spans="2:10" ht="12.75">
      <c r="B88" s="570"/>
      <c r="C88" s="566"/>
      <c r="D88" s="504"/>
      <c r="E88" s="504"/>
      <c r="F88" s="504"/>
      <c r="G88" s="504"/>
      <c r="H88" s="505">
        <f t="shared" si="4"/>
        <v>0</v>
      </c>
      <c r="I88" s="1079">
        <f t="shared" si="5"/>
        <v>0</v>
      </c>
      <c r="J88" s="1080"/>
    </row>
    <row r="89" spans="2:10" ht="12.75">
      <c r="B89" s="570"/>
      <c r="C89" s="566"/>
      <c r="D89" s="504"/>
      <c r="E89" s="504"/>
      <c r="F89" s="504"/>
      <c r="G89" s="504"/>
      <c r="H89" s="505">
        <f t="shared" si="4"/>
        <v>0</v>
      </c>
      <c r="I89" s="1079">
        <f t="shared" si="5"/>
        <v>0</v>
      </c>
      <c r="J89" s="1080"/>
    </row>
    <row r="90" spans="2:10" ht="12.75">
      <c r="B90" s="570"/>
      <c r="C90" s="566"/>
      <c r="D90" s="504"/>
      <c r="E90" s="504"/>
      <c r="F90" s="504"/>
      <c r="G90" s="504"/>
      <c r="H90" s="505">
        <f t="shared" si="4"/>
        <v>0</v>
      </c>
      <c r="I90" s="1079">
        <f t="shared" si="5"/>
        <v>0</v>
      </c>
      <c r="J90" s="1080"/>
    </row>
    <row r="91" spans="2:10" ht="12.75">
      <c r="B91" s="571"/>
      <c r="C91" s="572"/>
      <c r="D91" s="506"/>
      <c r="E91" s="506"/>
      <c r="F91" s="506"/>
      <c r="G91" s="506"/>
      <c r="H91" s="507">
        <f t="shared" si="4"/>
        <v>0</v>
      </c>
      <c r="I91" s="1081">
        <f t="shared" si="5"/>
        <v>0</v>
      </c>
      <c r="J91" s="1082"/>
    </row>
    <row r="92" ht="12.75">
      <c r="B92" s="126"/>
    </row>
    <row r="93" ht="12.75">
      <c r="B93" s="126"/>
    </row>
    <row r="94" ht="12.75">
      <c r="B94" s="126"/>
    </row>
    <row r="95" ht="12.75">
      <c r="B95" s="126"/>
    </row>
    <row r="96" ht="12.75">
      <c r="B96" s="126"/>
    </row>
    <row r="97" ht="12.75">
      <c r="B97" s="126"/>
    </row>
    <row r="98" ht="12.75">
      <c r="B98" s="126"/>
    </row>
  </sheetData>
  <sheetProtection/>
  <mergeCells count="103">
    <mergeCell ref="B2:J3"/>
    <mergeCell ref="B75:J76"/>
    <mergeCell ref="I64:J66"/>
    <mergeCell ref="K64:K66"/>
    <mergeCell ref="H4:I4"/>
    <mergeCell ref="G9:G10"/>
    <mergeCell ref="D14:F14"/>
    <mergeCell ref="I14:J14"/>
    <mergeCell ref="I15:J15"/>
    <mergeCell ref="I16:J16"/>
    <mergeCell ref="I17:J17"/>
    <mergeCell ref="I18:J18"/>
    <mergeCell ref="I19:J19"/>
    <mergeCell ref="I20:J20"/>
    <mergeCell ref="L61:L66"/>
    <mergeCell ref="B64:B66"/>
    <mergeCell ref="C64:C66"/>
    <mergeCell ref="D64:D66"/>
    <mergeCell ref="E64:E66"/>
    <mergeCell ref="I21:J21"/>
    <mergeCell ref="I22:J22"/>
    <mergeCell ref="I29:J29"/>
    <mergeCell ref="I30:J30"/>
    <mergeCell ref="I23:J23"/>
    <mergeCell ref="I25:J25"/>
    <mergeCell ref="I26:J26"/>
    <mergeCell ref="I35:J35"/>
    <mergeCell ref="I36:J36"/>
    <mergeCell ref="I37:J37"/>
    <mergeCell ref="I24:J24"/>
    <mergeCell ref="I31:J31"/>
    <mergeCell ref="I32:J32"/>
    <mergeCell ref="I33:J33"/>
    <mergeCell ref="I34:J34"/>
    <mergeCell ref="I27:J27"/>
    <mergeCell ref="I28:J28"/>
    <mergeCell ref="E4:F4"/>
    <mergeCell ref="F46:F50"/>
    <mergeCell ref="B40:J41"/>
    <mergeCell ref="K58:K60"/>
    <mergeCell ref="B53:B54"/>
    <mergeCell ref="C53:C54"/>
    <mergeCell ref="D53:D54"/>
    <mergeCell ref="E53:E54"/>
    <mergeCell ref="H53:H54"/>
    <mergeCell ref="I53:J54"/>
    <mergeCell ref="I58:J60"/>
    <mergeCell ref="H64:H66"/>
    <mergeCell ref="D61:D63"/>
    <mergeCell ref="B58:B60"/>
    <mergeCell ref="C58:C60"/>
    <mergeCell ref="D58:D60"/>
    <mergeCell ref="B61:B63"/>
    <mergeCell ref="C61:C63"/>
    <mergeCell ref="E61:E63"/>
    <mergeCell ref="D44:G44"/>
    <mergeCell ref="E51:F51"/>
    <mergeCell ref="E58:E60"/>
    <mergeCell ref="F58:F60"/>
    <mergeCell ref="G58:G60"/>
    <mergeCell ref="H58:H60"/>
    <mergeCell ref="G46:G50"/>
    <mergeCell ref="D46:D50"/>
    <mergeCell ref="E46:E50"/>
    <mergeCell ref="K53:K54"/>
    <mergeCell ref="K55:K57"/>
    <mergeCell ref="I55:J55"/>
    <mergeCell ref="I56:J56"/>
    <mergeCell ref="I57:J57"/>
    <mergeCell ref="F53:F54"/>
    <mergeCell ref="G53:G54"/>
    <mergeCell ref="B55:B57"/>
    <mergeCell ref="C55:C57"/>
    <mergeCell ref="C78:C81"/>
    <mergeCell ref="B84:B85"/>
    <mergeCell ref="C84:C85"/>
    <mergeCell ref="D84:D85"/>
    <mergeCell ref="H84:H85"/>
    <mergeCell ref="F61:F63"/>
    <mergeCell ref="G61:G63"/>
    <mergeCell ref="H61:H63"/>
    <mergeCell ref="E78:G81"/>
    <mergeCell ref="E84:E85"/>
    <mergeCell ref="F84:F85"/>
    <mergeCell ref="G84:G85"/>
    <mergeCell ref="F64:F66"/>
    <mergeCell ref="G64:G66"/>
    <mergeCell ref="K61:K63"/>
    <mergeCell ref="I61:J63"/>
    <mergeCell ref="I70:J70"/>
    <mergeCell ref="I71:J71"/>
    <mergeCell ref="I72:J72"/>
    <mergeCell ref="I73:J73"/>
    <mergeCell ref="I67:J67"/>
    <mergeCell ref="I69:J69"/>
    <mergeCell ref="I68:J68"/>
    <mergeCell ref="I88:J88"/>
    <mergeCell ref="I89:J89"/>
    <mergeCell ref="I90:J90"/>
    <mergeCell ref="I91:J91"/>
    <mergeCell ref="I84:J85"/>
    <mergeCell ref="I86:J86"/>
    <mergeCell ref="I87:J87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S31"/>
  <sheetViews>
    <sheetView showGridLines="0" zoomScalePageLayoutView="0" workbookViewId="0" topLeftCell="A1">
      <selection activeCell="O25" sqref="O25:O27"/>
    </sheetView>
  </sheetViews>
  <sheetFormatPr defaultColWidth="9.140625" defaultRowHeight="12.75"/>
  <cols>
    <col min="1" max="3" width="2.7109375" style="429" customWidth="1"/>
    <col min="4" max="4" width="6.140625" style="430" customWidth="1"/>
    <col min="5" max="5" width="5.8515625" style="430" customWidth="1"/>
    <col min="6" max="6" width="8.140625" style="430" customWidth="1"/>
    <col min="7" max="7" width="5.28125" style="431" customWidth="1"/>
    <col min="8" max="10" width="6.7109375" style="431" customWidth="1"/>
    <col min="11" max="11" width="7.7109375" style="431" customWidth="1"/>
    <col min="12" max="12" width="10.28125" style="431" customWidth="1"/>
    <col min="13" max="14" width="6.7109375" style="431" customWidth="1"/>
    <col min="15" max="15" width="7.8515625" style="431" customWidth="1"/>
    <col min="16" max="16" width="4.8515625" style="431" customWidth="1"/>
    <col min="17" max="17" width="9.140625" style="431" customWidth="1"/>
    <col min="18" max="18" width="7.28125" style="431" customWidth="1"/>
    <col min="19" max="19" width="9.421875" style="431" customWidth="1"/>
    <col min="20" max="21" width="6.7109375" style="431" customWidth="1"/>
    <col min="22" max="22" width="0.85546875" style="431" customWidth="1"/>
    <col min="23" max="23" width="4.421875" style="431" customWidth="1"/>
    <col min="24" max="45" width="6.7109375" style="431" customWidth="1"/>
    <col min="46" max="53" width="6.7109375" style="429" customWidth="1"/>
    <col min="54" max="16384" width="9.140625" style="429" customWidth="1"/>
  </cols>
  <sheetData>
    <row r="1" ht="4.5" customHeight="1"/>
    <row r="2" spans="4:45" s="432" customFormat="1" ht="15" customHeight="1">
      <c r="D2" s="433"/>
      <c r="E2" s="434" t="s">
        <v>213</v>
      </c>
      <c r="F2" s="435">
        <v>0.4</v>
      </c>
      <c r="G2" s="428"/>
      <c r="H2" s="436"/>
      <c r="I2" s="437"/>
      <c r="J2" s="438"/>
      <c r="K2" s="1183" t="s">
        <v>214</v>
      </c>
      <c r="L2" s="1183"/>
      <c r="M2" s="1183"/>
      <c r="N2" s="439"/>
      <c r="O2" s="437"/>
      <c r="P2" s="437"/>
      <c r="Q2" s="437"/>
      <c r="R2" s="437"/>
      <c r="S2" s="440">
        <f>F2+F3</f>
        <v>0.6000000000000001</v>
      </c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</row>
    <row r="3" spans="4:45" s="432" customFormat="1" ht="15" customHeight="1">
      <c r="D3" s="433"/>
      <c r="E3" s="434" t="s">
        <v>215</v>
      </c>
      <c r="F3" s="435">
        <v>0.2</v>
      </c>
      <c r="G3" s="428"/>
      <c r="H3" s="436"/>
      <c r="I3" s="437"/>
      <c r="J3" s="1190" t="s">
        <v>213</v>
      </c>
      <c r="K3" s="1190"/>
      <c r="L3" s="1190"/>
      <c r="M3" s="1190"/>
      <c r="N3" s="441" t="s">
        <v>216</v>
      </c>
      <c r="O3" s="442"/>
      <c r="P3" s="443"/>
      <c r="Q3" s="443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</row>
    <row r="4" spans="4:45" s="432" customFormat="1" ht="15" customHeight="1">
      <c r="D4" s="433"/>
      <c r="E4" s="444" t="s">
        <v>217</v>
      </c>
      <c r="F4" s="445">
        <f>F2+F3</f>
        <v>0.6000000000000001</v>
      </c>
      <c r="G4" s="428"/>
      <c r="H4" s="436"/>
      <c r="I4" s="437"/>
      <c r="J4" s="446"/>
      <c r="K4" s="437"/>
      <c r="L4" s="447"/>
      <c r="M4" s="1191"/>
      <c r="N4" s="1202" t="s">
        <v>243</v>
      </c>
      <c r="O4" s="448"/>
      <c r="P4" s="437"/>
      <c r="Q4" s="437"/>
      <c r="R4" s="449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</row>
    <row r="5" spans="4:45" s="432" customFormat="1" ht="15" customHeight="1">
      <c r="D5" s="433"/>
      <c r="E5" s="444" t="s">
        <v>218</v>
      </c>
      <c r="F5" s="445">
        <v>0.2</v>
      </c>
      <c r="G5" s="450"/>
      <c r="H5" s="436"/>
      <c r="I5" s="437"/>
      <c r="J5" s="437"/>
      <c r="K5" s="451" t="s">
        <v>219</v>
      </c>
      <c r="L5" s="437"/>
      <c r="M5" s="1192"/>
      <c r="N5" s="1203"/>
      <c r="O5" s="448"/>
      <c r="R5" s="449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</row>
    <row r="6" spans="4:45" s="432" customFormat="1" ht="15" customHeight="1">
      <c r="D6" s="433"/>
      <c r="E6" s="452" t="s">
        <v>220</v>
      </c>
      <c r="F6" s="453">
        <f>SQRT(F2*F2+F5*F5)</f>
        <v>0.447213595499958</v>
      </c>
      <c r="G6" s="428"/>
      <c r="H6" s="436"/>
      <c r="I6" s="437"/>
      <c r="J6" s="437"/>
      <c r="K6" s="454" t="s">
        <v>221</v>
      </c>
      <c r="L6" s="437"/>
      <c r="M6" s="1192"/>
      <c r="N6" s="1194" t="s">
        <v>222</v>
      </c>
      <c r="O6" s="1195"/>
      <c r="P6" s="1193"/>
      <c r="Q6" s="1193"/>
      <c r="R6" s="455"/>
      <c r="S6" s="456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</row>
    <row r="7" spans="4:45" s="432" customFormat="1" ht="15" customHeight="1">
      <c r="D7" s="433"/>
      <c r="E7" s="457" t="s">
        <v>223</v>
      </c>
      <c r="F7" s="458">
        <f>SQRT(F5*F5+F3*F3)</f>
        <v>0.28284271247461906</v>
      </c>
      <c r="G7" s="1204"/>
      <c r="H7" s="1205"/>
      <c r="I7" s="437"/>
      <c r="J7" s="437"/>
      <c r="K7" s="437"/>
      <c r="L7" s="437"/>
      <c r="M7" s="1192"/>
      <c r="N7" s="437"/>
      <c r="O7" s="448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</row>
    <row r="8" spans="4:45" s="432" customFormat="1" ht="15" customHeight="1">
      <c r="D8" s="1220" t="s">
        <v>224</v>
      </c>
      <c r="E8" s="1220"/>
      <c r="F8" s="459">
        <f>(F4*F6*F14)/2</f>
        <v>0.06000000000000001</v>
      </c>
      <c r="G8" s="1216">
        <f>(((F2*F5)/2)+((F3*F5)/2))</f>
        <v>0.06000000000000001</v>
      </c>
      <c r="H8" s="1217"/>
      <c r="I8" s="440"/>
      <c r="J8" s="460"/>
      <c r="K8" s="437"/>
      <c r="L8" s="437"/>
      <c r="M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</row>
    <row r="9" spans="4:45" s="432" customFormat="1" ht="15" customHeight="1">
      <c r="D9" s="1220" t="s">
        <v>225</v>
      </c>
      <c r="E9" s="1220"/>
      <c r="F9" s="459">
        <f>F6+F7</f>
        <v>0.730056307974577</v>
      </c>
      <c r="G9" s="428"/>
      <c r="H9" s="461"/>
      <c r="I9" s="437"/>
      <c r="J9" s="437"/>
      <c r="K9" s="462" t="s">
        <v>2</v>
      </c>
      <c r="L9" s="462" t="s">
        <v>226</v>
      </c>
      <c r="M9" s="437"/>
      <c r="N9" s="462" t="s">
        <v>2</v>
      </c>
      <c r="O9" s="462" t="s">
        <v>226</v>
      </c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</row>
    <row r="10" spans="4:45" s="432" customFormat="1" ht="15" customHeight="1">
      <c r="D10" s="433"/>
      <c r="E10" s="463"/>
      <c r="F10" s="463"/>
      <c r="G10" s="428"/>
      <c r="H10" s="461"/>
      <c r="I10" s="437"/>
      <c r="J10" s="437"/>
      <c r="K10" s="464">
        <f>F5</f>
        <v>0.2</v>
      </c>
      <c r="L10" s="464">
        <f>F2</f>
        <v>0.4</v>
      </c>
      <c r="M10" s="437"/>
      <c r="N10" s="464">
        <f>F5</f>
        <v>0.2</v>
      </c>
      <c r="O10" s="464">
        <f>F3</f>
        <v>0.2</v>
      </c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</row>
    <row r="11" spans="4:45" s="432" customFormat="1" ht="15" customHeight="1">
      <c r="D11" s="433"/>
      <c r="E11" s="463"/>
      <c r="F11" s="463"/>
      <c r="G11" s="428"/>
      <c r="H11" s="461"/>
      <c r="I11" s="437"/>
      <c r="J11" s="437"/>
      <c r="K11" s="465" t="s">
        <v>227</v>
      </c>
      <c r="L11" s="465">
        <f>K10/L10</f>
        <v>0.5</v>
      </c>
      <c r="M11" s="437"/>
      <c r="N11" s="465" t="s">
        <v>228</v>
      </c>
      <c r="O11" s="466">
        <f>N10/O10</f>
        <v>1</v>
      </c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</row>
    <row r="12" spans="8:15" ht="12.75">
      <c r="H12" s="437"/>
      <c r="K12" s="467" t="s">
        <v>229</v>
      </c>
      <c r="L12" s="468">
        <f>L11*100</f>
        <v>50</v>
      </c>
      <c r="N12" s="469" t="s">
        <v>229</v>
      </c>
      <c r="O12" s="470">
        <f>O11*100</f>
        <v>100</v>
      </c>
    </row>
    <row r="13" spans="1:15" ht="12.75">
      <c r="A13" s="471" t="s">
        <v>230</v>
      </c>
      <c r="B13" s="472" t="s">
        <v>231</v>
      </c>
      <c r="C13" s="471" t="s">
        <v>232</v>
      </c>
      <c r="E13" s="1221" t="s">
        <v>233</v>
      </c>
      <c r="F13" s="1222"/>
      <c r="G13" s="1223"/>
      <c r="H13" s="1196"/>
      <c r="I13" s="1197"/>
      <c r="J13" s="1198"/>
      <c r="M13" s="1210"/>
      <c r="N13" s="1211"/>
      <c r="O13" s="1212"/>
    </row>
    <row r="14" spans="1:15" ht="11.25">
      <c r="A14" s="473"/>
      <c r="B14" s="473"/>
      <c r="C14" s="474"/>
      <c r="E14" s="475" t="s">
        <v>234</v>
      </c>
      <c r="F14" s="1206">
        <f>SIN(J16)</f>
        <v>0.4472135954999579</v>
      </c>
      <c r="G14" s="1207"/>
      <c r="H14" s="1199"/>
      <c r="I14" s="1200"/>
      <c r="J14" s="1201"/>
      <c r="M14" s="1213"/>
      <c r="N14" s="1214"/>
      <c r="O14" s="1215"/>
    </row>
    <row r="15" spans="1:20" ht="12.75">
      <c r="A15" s="476"/>
      <c r="B15" s="476"/>
      <c r="C15" s="477"/>
      <c r="E15" s="475" t="s">
        <v>235</v>
      </c>
      <c r="F15" s="1218">
        <f>SIN(M16)</f>
        <v>0.7071067811865475</v>
      </c>
      <c r="G15" s="1219"/>
      <c r="H15" s="478" t="s">
        <v>236</v>
      </c>
      <c r="I15" s="479" t="s">
        <v>237</v>
      </c>
      <c r="J15" s="478" t="s">
        <v>238</v>
      </c>
      <c r="K15" s="480" t="s">
        <v>239</v>
      </c>
      <c r="L15" s="481" t="s">
        <v>240</v>
      </c>
      <c r="M15" s="478" t="s">
        <v>238</v>
      </c>
      <c r="N15" s="479" t="s">
        <v>237</v>
      </c>
      <c r="O15" s="482" t="s">
        <v>236</v>
      </c>
      <c r="P15" s="1185"/>
      <c r="Q15" s="1185"/>
      <c r="R15" s="1185"/>
      <c r="S15" s="1186"/>
      <c r="T15" s="437"/>
    </row>
    <row r="16" spans="1:20" ht="12.75">
      <c r="A16" s="483"/>
      <c r="B16" s="483"/>
      <c r="C16" s="484"/>
      <c r="E16" s="485" t="s">
        <v>241</v>
      </c>
      <c r="F16" s="1208">
        <f>SIN(N19)</f>
        <v>0.9486809748860258</v>
      </c>
      <c r="G16" s="1209"/>
      <c r="H16" s="486">
        <f>DEGREES(J16)</f>
        <v>26.56505117707799</v>
      </c>
      <c r="I16" s="487">
        <f>L12/100</f>
        <v>0.5</v>
      </c>
      <c r="J16" s="488">
        <f>ATAN(I16)</f>
        <v>0.4636476090008061</v>
      </c>
      <c r="K16" s="489"/>
      <c r="L16" s="490">
        <v>100</v>
      </c>
      <c r="M16" s="491">
        <f>ATAN(N16)</f>
        <v>0.7853981633974483</v>
      </c>
      <c r="N16" s="492">
        <f>O12/100</f>
        <v>1</v>
      </c>
      <c r="O16" s="493">
        <f>DEGREES(M16)</f>
        <v>45</v>
      </c>
      <c r="P16" s="1187"/>
      <c r="Q16" s="1188"/>
      <c r="R16" s="1188"/>
      <c r="S16" s="1189"/>
      <c r="T16" s="437"/>
    </row>
    <row r="17" spans="11:20" ht="12.75">
      <c r="K17" s="1227" t="s">
        <v>242</v>
      </c>
      <c r="L17" s="1228"/>
      <c r="M17" s="1229"/>
      <c r="T17" s="437"/>
    </row>
    <row r="18" spans="10:13" ht="12.75">
      <c r="J18" s="494"/>
      <c r="K18" s="1224">
        <f>180-(H16+O16)</f>
        <v>108.43494882292201</v>
      </c>
      <c r="L18" s="1225"/>
      <c r="M18" s="1226"/>
    </row>
    <row r="19" spans="11:14" ht="12.75">
      <c r="K19" s="1184"/>
      <c r="L19" s="1184"/>
      <c r="M19" s="1184"/>
      <c r="N19" s="495">
        <f>3.1416-(J16+M16)</f>
        <v>1.8925542276017455</v>
      </c>
    </row>
    <row r="20" spans="11:13" ht="12.75">
      <c r="K20" s="1184"/>
      <c r="L20" s="1184"/>
      <c r="M20" s="1184"/>
    </row>
    <row r="21" ht="12.75">
      <c r="L21" s="496"/>
    </row>
    <row r="24" ht="12.75">
      <c r="J24" s="431">
        <f>RADIANS(H24)</f>
        <v>0</v>
      </c>
    </row>
    <row r="29" spans="10:15" ht="12.75">
      <c r="J29" s="431" t="s">
        <v>330</v>
      </c>
      <c r="L29" s="431" t="str">
        <f>MID(J29,1,2)</f>
        <v>43</v>
      </c>
      <c r="M29" s="431" t="str">
        <f>MID(J29,4,2)</f>
        <v>28</v>
      </c>
      <c r="O29" s="679" t="str">
        <f>O31</f>
        <v>432838</v>
      </c>
    </row>
    <row r="31" spans="10:15" ht="12.75">
      <c r="J31" s="431">
        <v>43</v>
      </c>
      <c r="K31" s="431">
        <v>28</v>
      </c>
      <c r="L31" s="431">
        <v>38</v>
      </c>
      <c r="O31" s="678" t="str">
        <f>CONCATENATE(J31,K31,L31)</f>
        <v>432838</v>
      </c>
    </row>
  </sheetData>
  <sheetProtection/>
  <mergeCells count="22">
    <mergeCell ref="D8:E8"/>
    <mergeCell ref="D9:E9"/>
    <mergeCell ref="E13:G13"/>
    <mergeCell ref="K20:M20"/>
    <mergeCell ref="K18:M18"/>
    <mergeCell ref="K17:M17"/>
    <mergeCell ref="G7:H7"/>
    <mergeCell ref="F14:G14"/>
    <mergeCell ref="F16:G16"/>
    <mergeCell ref="M13:O14"/>
    <mergeCell ref="G8:H8"/>
    <mergeCell ref="F15:G15"/>
    <mergeCell ref="K2:M2"/>
    <mergeCell ref="K19:M19"/>
    <mergeCell ref="P15:S15"/>
    <mergeCell ref="P16:S16"/>
    <mergeCell ref="J3:M3"/>
    <mergeCell ref="M4:M7"/>
    <mergeCell ref="P6:Q6"/>
    <mergeCell ref="N6:O6"/>
    <mergeCell ref="H13:J14"/>
    <mergeCell ref="N4:N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8"/>
  <drawing r:id="rId7"/>
  <legacyDrawing r:id="rId6"/>
  <oleObjects>
    <oleObject progId="Equation.3" shapeId="742656" r:id="rId1"/>
    <oleObject progId="Equation.3" shapeId="742657" r:id="rId2"/>
    <oleObject progId="Equation.3" shapeId="742658" r:id="rId3"/>
    <oleObject progId="Equation.3" shapeId="742659" r:id="rId4"/>
    <oleObject progId="Equation.3" shapeId="742660" r:id="rId5"/>
  </oleObjects>
</worksheet>
</file>

<file path=xl/worksheets/sheet37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2.7109375" style="0" customWidth="1"/>
    <col min="2" max="6" width="15.7109375" style="0" customWidth="1"/>
    <col min="7" max="7" width="18.7109375" style="0" customWidth="1"/>
  </cols>
  <sheetData>
    <row r="2" spans="1:7" ht="12.75">
      <c r="A2" s="780"/>
      <c r="B2" s="781"/>
      <c r="C2" s="781"/>
      <c r="D2" s="781"/>
      <c r="E2" s="781"/>
      <c r="F2" s="781"/>
      <c r="G2" s="782"/>
    </row>
    <row r="3" spans="1:7" ht="12.75">
      <c r="A3" s="1230" t="s">
        <v>383</v>
      </c>
      <c r="B3" s="1231"/>
      <c r="C3" s="1231"/>
      <c r="D3" s="1231"/>
      <c r="E3" s="1231"/>
      <c r="F3" s="1231"/>
      <c r="G3" s="1232"/>
    </row>
    <row r="4" spans="1:7" ht="12.75">
      <c r="A4" s="111"/>
      <c r="B4" s="780"/>
      <c r="C4" s="780"/>
      <c r="D4" s="780"/>
      <c r="E4" s="780"/>
      <c r="F4" s="780"/>
      <c r="G4" s="796"/>
    </row>
    <row r="5" spans="1:7" ht="12.75">
      <c r="A5" s="788" t="s">
        <v>388</v>
      </c>
      <c r="B5" s="788" t="s">
        <v>387</v>
      </c>
      <c r="C5" s="788" t="s">
        <v>384</v>
      </c>
      <c r="D5" s="788" t="s">
        <v>385</v>
      </c>
      <c r="E5" s="788" t="s">
        <v>386</v>
      </c>
      <c r="F5" s="788" t="s">
        <v>378</v>
      </c>
      <c r="G5" s="799" t="s">
        <v>389</v>
      </c>
    </row>
    <row r="6" spans="1:7" ht="12.75">
      <c r="A6" s="111"/>
      <c r="B6" s="780"/>
      <c r="C6" s="780"/>
      <c r="D6" s="780"/>
      <c r="E6" s="796"/>
      <c r="F6" s="781"/>
      <c r="G6" s="796"/>
    </row>
    <row r="7" spans="1:7" ht="12.75">
      <c r="A7" s="788" t="s">
        <v>397</v>
      </c>
      <c r="B7" s="788" t="s">
        <v>382</v>
      </c>
      <c r="C7" s="791">
        <v>648</v>
      </c>
      <c r="D7" s="792">
        <v>0.001</v>
      </c>
      <c r="E7" s="791">
        <v>200</v>
      </c>
      <c r="F7" s="791">
        <v>0.55</v>
      </c>
      <c r="G7" s="799" t="s">
        <v>390</v>
      </c>
    </row>
    <row r="8" spans="1:7" ht="12.75">
      <c r="A8" s="785"/>
      <c r="B8" s="780"/>
      <c r="C8" s="789"/>
      <c r="D8" s="789"/>
      <c r="E8" s="789"/>
      <c r="F8" s="780"/>
      <c r="G8" s="800"/>
    </row>
    <row r="9" spans="1:7" ht="12.75">
      <c r="A9" s="788" t="s">
        <v>273</v>
      </c>
      <c r="B9" s="786" t="s">
        <v>379</v>
      </c>
      <c r="C9" s="791">
        <v>207</v>
      </c>
      <c r="D9" s="792">
        <v>0.001</v>
      </c>
      <c r="E9" s="797">
        <v>200</v>
      </c>
      <c r="F9" s="784">
        <v>0.35</v>
      </c>
      <c r="G9" s="799" t="s">
        <v>391</v>
      </c>
    </row>
    <row r="10" spans="1:7" ht="12.75">
      <c r="A10" s="785"/>
      <c r="B10" s="780"/>
      <c r="C10" s="789"/>
      <c r="D10" s="789"/>
      <c r="E10" s="789"/>
      <c r="F10" s="780"/>
      <c r="G10" s="800"/>
    </row>
    <row r="11" spans="1:7" ht="12.75">
      <c r="A11" s="783" t="s">
        <v>395</v>
      </c>
      <c r="B11" s="790" t="s">
        <v>393</v>
      </c>
      <c r="C11" s="791">
        <v>546</v>
      </c>
      <c r="D11" s="794">
        <v>0.001</v>
      </c>
      <c r="E11" s="784">
        <v>200</v>
      </c>
      <c r="F11" s="791">
        <v>0.45</v>
      </c>
      <c r="G11" s="799" t="s">
        <v>392</v>
      </c>
    </row>
    <row r="12" spans="1:7" ht="12.75">
      <c r="A12" s="789"/>
      <c r="B12" s="780"/>
      <c r="C12" s="789"/>
      <c r="D12" s="789"/>
      <c r="E12" s="789"/>
      <c r="F12" s="780"/>
      <c r="G12" s="800"/>
    </row>
    <row r="13" spans="1:7" ht="12.75">
      <c r="A13" s="783" t="s">
        <v>381</v>
      </c>
      <c r="B13" s="785" t="s">
        <v>380</v>
      </c>
      <c r="C13" s="785">
        <v>390</v>
      </c>
      <c r="D13" s="793">
        <v>0.001</v>
      </c>
      <c r="E13" s="785">
        <v>200</v>
      </c>
      <c r="F13" s="798">
        <v>0.5</v>
      </c>
      <c r="G13" s="801" t="s">
        <v>394</v>
      </c>
    </row>
    <row r="14" spans="1:7" ht="12.75">
      <c r="A14" s="785"/>
      <c r="B14" s="786"/>
      <c r="C14" s="795"/>
      <c r="D14" s="795"/>
      <c r="E14" s="787"/>
      <c r="F14" s="786"/>
      <c r="G14" s="795"/>
    </row>
    <row r="15" spans="1:8" ht="12.75">
      <c r="A15" s="780"/>
      <c r="B15" s="781"/>
      <c r="C15" s="781"/>
      <c r="D15" s="781"/>
      <c r="E15" s="781"/>
      <c r="F15" s="781"/>
      <c r="G15" s="781"/>
      <c r="H15" s="592"/>
    </row>
    <row r="16" spans="2:7" ht="12.75">
      <c r="B16" s="592"/>
      <c r="C16" s="592"/>
      <c r="G16" s="592"/>
    </row>
  </sheetData>
  <sheetProtection/>
  <mergeCells count="1">
    <mergeCell ref="A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F2" sqref="F2:L2"/>
    </sheetView>
  </sheetViews>
  <sheetFormatPr defaultColWidth="9.140625" defaultRowHeight="12.75"/>
  <cols>
    <col min="1" max="1" width="2.421875" style="728" customWidth="1"/>
    <col min="2" max="2" width="11.00390625" style="728" customWidth="1"/>
    <col min="3" max="12" width="7.28125" style="728" customWidth="1"/>
    <col min="13" max="13" width="4.57421875" style="729" customWidth="1"/>
    <col min="14" max="14" width="5.7109375" style="728" customWidth="1"/>
    <col min="15" max="15" width="17.28125" style="728" customWidth="1"/>
    <col min="16" max="16" width="8.140625" style="728" customWidth="1"/>
    <col min="17" max="17" width="3.8515625" style="728" customWidth="1"/>
    <col min="18" max="18" width="7.421875" style="728" customWidth="1"/>
    <col min="19" max="19" width="6.00390625" style="728" customWidth="1"/>
    <col min="20" max="20" width="7.7109375" style="728" customWidth="1"/>
    <col min="21" max="21" width="8.28125" style="728" customWidth="1"/>
    <col min="22" max="22" width="7.00390625" style="728" customWidth="1"/>
    <col min="23" max="23" width="5.140625" style="728" customWidth="1"/>
    <col min="24" max="24" width="4.57421875" style="728" customWidth="1"/>
    <col min="25" max="25" width="2.140625" style="728" customWidth="1"/>
    <col min="26" max="26" width="2.421875" style="728" customWidth="1"/>
    <col min="27" max="27" width="5.8515625" style="728" customWidth="1"/>
    <col min="28" max="28" width="1.8515625" style="728" customWidth="1"/>
    <col min="29" max="29" width="2.00390625" style="728" customWidth="1"/>
    <col min="30" max="30" width="10.57421875" style="728" customWidth="1"/>
    <col min="31" max="31" width="9.8515625" style="728" customWidth="1"/>
    <col min="32" max="16384" width="9.140625" style="728" customWidth="1"/>
  </cols>
  <sheetData>
    <row r="1" ht="5.25" customHeight="1">
      <c r="G1" s="729"/>
    </row>
    <row r="2" spans="2:17" ht="19.5" customHeight="1">
      <c r="B2" s="878"/>
      <c r="C2" s="879"/>
      <c r="D2" s="879"/>
      <c r="E2" s="880"/>
      <c r="F2" s="861" t="str">
        <f>'[10]BASE'!$G$2</f>
        <v>PROJETO   DE  DRENAGEM</v>
      </c>
      <c r="G2" s="862"/>
      <c r="H2" s="862"/>
      <c r="I2" s="862"/>
      <c r="J2" s="862"/>
      <c r="K2" s="862"/>
      <c r="L2" s="863"/>
      <c r="M2" s="190"/>
      <c r="N2" s="190"/>
      <c r="P2" s="292"/>
      <c r="Q2" s="292"/>
    </row>
    <row r="3" spans="2:17" ht="19.5" customHeight="1">
      <c r="B3" s="881"/>
      <c r="C3" s="882"/>
      <c r="D3" s="882"/>
      <c r="E3" s="883"/>
      <c r="F3" s="864" t="str">
        <f>'[8]BASE '!G3</f>
        <v>Rodovia: MG-314</v>
      </c>
      <c r="G3" s="865"/>
      <c r="H3" s="865"/>
      <c r="I3" s="865"/>
      <c r="J3" s="865"/>
      <c r="K3" s="865"/>
      <c r="L3" s="866"/>
      <c r="M3" s="190"/>
      <c r="N3" s="190"/>
      <c r="P3" s="292"/>
      <c r="Q3" s="292"/>
    </row>
    <row r="4" spans="2:29" ht="19.5" customHeight="1" thickBot="1">
      <c r="B4" s="881"/>
      <c r="C4" s="882"/>
      <c r="D4" s="882"/>
      <c r="E4" s="883"/>
      <c r="F4" s="864" t="str">
        <f>'[8]BASE '!G4</f>
        <v>Trecho: Entrº MG-416 (Peçanha) - LMG-744 (Coroaci)</v>
      </c>
      <c r="G4" s="865"/>
      <c r="H4" s="865"/>
      <c r="I4" s="865"/>
      <c r="J4" s="865"/>
      <c r="K4" s="865"/>
      <c r="L4" s="866"/>
      <c r="M4" s="190"/>
      <c r="N4" s="190"/>
      <c r="O4" s="728" t="s">
        <v>61</v>
      </c>
      <c r="T4" s="133" t="s">
        <v>62</v>
      </c>
      <c r="U4" s="730" t="s">
        <v>63</v>
      </c>
      <c r="V4" s="686" t="s">
        <v>64</v>
      </c>
      <c r="W4" s="18" t="s">
        <v>33</v>
      </c>
      <c r="X4" s="731" t="s">
        <v>359</v>
      </c>
      <c r="Y4" s="732" t="s">
        <v>33</v>
      </c>
      <c r="Z4" s="138" t="s">
        <v>66</v>
      </c>
      <c r="AA4" s="733" t="s">
        <v>67</v>
      </c>
      <c r="AB4" s="734" t="s">
        <v>33</v>
      </c>
      <c r="AC4" s="141" t="s">
        <v>66</v>
      </c>
    </row>
    <row r="5" spans="2:26" ht="19.5" customHeight="1">
      <c r="B5" s="884"/>
      <c r="C5" s="885"/>
      <c r="D5" s="885"/>
      <c r="E5" s="886"/>
      <c r="F5" s="908"/>
      <c r="G5" s="909"/>
      <c r="H5" s="909"/>
      <c r="I5" s="909"/>
      <c r="J5" s="909"/>
      <c r="K5" s="909"/>
      <c r="L5" s="910"/>
      <c r="M5" s="190"/>
      <c r="N5" s="190"/>
      <c r="O5" s="735"/>
      <c r="U5" s="736"/>
      <c r="V5" s="737"/>
      <c r="W5" s="738"/>
      <c r="X5" s="895" t="s">
        <v>68</v>
      </c>
      <c r="Y5" s="895"/>
      <c r="Z5" s="896"/>
    </row>
    <row r="6" spans="2:12" ht="12.75">
      <c r="B6" s="739"/>
      <c r="C6" s="740"/>
      <c r="D6" s="740"/>
      <c r="E6" s="740"/>
      <c r="F6" s="740"/>
      <c r="G6" s="740"/>
      <c r="H6" s="740"/>
      <c r="I6" s="740"/>
      <c r="J6" s="740"/>
      <c r="K6" s="740"/>
      <c r="L6" s="741"/>
    </row>
    <row r="7" spans="2:18" s="75" customFormat="1" ht="21" customHeight="1">
      <c r="B7" s="873" t="s">
        <v>348</v>
      </c>
      <c r="C7" s="828"/>
      <c r="D7" s="828"/>
      <c r="E7" s="828"/>
      <c r="F7" s="828"/>
      <c r="G7" s="828"/>
      <c r="H7" s="828"/>
      <c r="I7" s="828"/>
      <c r="J7" s="828"/>
      <c r="K7" s="828"/>
      <c r="L7" s="829"/>
      <c r="M7" s="116"/>
      <c r="N7" s="735" t="s">
        <v>69</v>
      </c>
      <c r="O7" s="728" t="s">
        <v>70</v>
      </c>
      <c r="P7" s="728"/>
      <c r="R7" s="145" t="s">
        <v>71</v>
      </c>
    </row>
    <row r="8" spans="2:18" s="75" customFormat="1" ht="12.75" customHeight="1">
      <c r="B8" s="103"/>
      <c r="C8" s="105"/>
      <c r="D8" s="105"/>
      <c r="E8" s="105"/>
      <c r="F8" s="105"/>
      <c r="G8" s="105"/>
      <c r="H8" s="105"/>
      <c r="I8" s="105"/>
      <c r="J8" s="105"/>
      <c r="K8" s="105"/>
      <c r="L8" s="688"/>
      <c r="M8" s="117"/>
      <c r="N8" s="735" t="s">
        <v>69</v>
      </c>
      <c r="O8" s="728" t="s">
        <v>70</v>
      </c>
      <c r="P8" s="728"/>
      <c r="R8" s="145" t="s">
        <v>72</v>
      </c>
    </row>
    <row r="9" spans="2:31" ht="18.75" customHeight="1">
      <c r="B9" s="739"/>
      <c r="C9" s="729"/>
      <c r="D9" s="729"/>
      <c r="E9" s="729"/>
      <c r="F9" s="729"/>
      <c r="G9" s="729"/>
      <c r="H9" s="729"/>
      <c r="I9" s="729"/>
      <c r="J9" s="729"/>
      <c r="K9" s="729"/>
      <c r="L9" s="742"/>
      <c r="N9" s="735" t="s">
        <v>69</v>
      </c>
      <c r="O9" s="728" t="s">
        <v>70</v>
      </c>
      <c r="Q9" s="743" t="s">
        <v>73</v>
      </c>
      <c r="R9" s="840" t="s">
        <v>349</v>
      </c>
      <c r="S9" s="840"/>
      <c r="T9" s="840"/>
      <c r="U9" s="840"/>
      <c r="V9" s="840"/>
      <c r="W9" s="840"/>
      <c r="X9" s="840"/>
      <c r="Y9" s="744" t="s">
        <v>75</v>
      </c>
      <c r="Z9" s="728" t="s">
        <v>33</v>
      </c>
      <c r="AA9" s="745" t="s">
        <v>360</v>
      </c>
      <c r="AD9" s="746"/>
      <c r="AE9" s="8"/>
    </row>
    <row r="10" spans="2:31" ht="18">
      <c r="B10" s="887" t="s">
        <v>351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9"/>
      <c r="M10" s="747"/>
      <c r="N10" s="735" t="s">
        <v>69</v>
      </c>
      <c r="O10" s="728" t="s">
        <v>70</v>
      </c>
      <c r="Q10" s="743" t="s">
        <v>73</v>
      </c>
      <c r="R10" s="687" t="s">
        <v>361</v>
      </c>
      <c r="S10" s="840" t="s">
        <v>77</v>
      </c>
      <c r="T10" s="840"/>
      <c r="U10" s="840"/>
      <c r="V10" s="840"/>
      <c r="W10" s="840"/>
      <c r="X10" s="840"/>
      <c r="Y10" s="744" t="s">
        <v>75</v>
      </c>
      <c r="Z10" s="728" t="s">
        <v>33</v>
      </c>
      <c r="AA10" s="745" t="s">
        <v>360</v>
      </c>
      <c r="AD10" s="729"/>
      <c r="AE10" s="8"/>
    </row>
    <row r="11" spans="2:31" ht="18">
      <c r="B11" s="870" t="s">
        <v>352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2"/>
      <c r="M11" s="747"/>
      <c r="O11" s="748" t="s">
        <v>60</v>
      </c>
      <c r="P11" s="749" t="s">
        <v>78</v>
      </c>
      <c r="AA11" s="750" t="s">
        <v>360</v>
      </c>
      <c r="AB11" s="155"/>
      <c r="AC11" s="155"/>
      <c r="AD11" s="155" t="s">
        <v>79</v>
      </c>
      <c r="AE11" s="697"/>
    </row>
    <row r="12" spans="2:21" ht="17.25">
      <c r="B12" s="751"/>
      <c r="C12" s="902" t="s">
        <v>24</v>
      </c>
      <c r="D12" s="902"/>
      <c r="E12" s="902"/>
      <c r="F12" s="902"/>
      <c r="G12" s="902"/>
      <c r="H12" s="902"/>
      <c r="I12" s="902"/>
      <c r="J12" s="902"/>
      <c r="K12" s="902"/>
      <c r="L12" s="903"/>
      <c r="M12" s="752"/>
      <c r="S12" s="156" t="s">
        <v>80</v>
      </c>
      <c r="T12" s="690" t="s">
        <v>81</v>
      </c>
      <c r="U12" s="691"/>
    </row>
    <row r="13" spans="2:31" ht="15" customHeight="1">
      <c r="B13" s="753"/>
      <c r="C13" s="12"/>
      <c r="D13" s="12"/>
      <c r="E13" s="12"/>
      <c r="F13" s="12"/>
      <c r="G13" s="12"/>
      <c r="H13" s="12"/>
      <c r="I13" s="747"/>
      <c r="J13" s="747"/>
      <c r="K13" s="747"/>
      <c r="L13" s="754"/>
      <c r="M13" s="747"/>
      <c r="R13" s="841" t="s">
        <v>31</v>
      </c>
      <c r="S13" s="164" t="s">
        <v>362</v>
      </c>
      <c r="T13" s="157" t="s">
        <v>33</v>
      </c>
      <c r="U13" s="843" t="s">
        <v>83</v>
      </c>
      <c r="V13" s="844"/>
      <c r="W13" s="147"/>
      <c r="X13" s="897" t="s">
        <v>363</v>
      </c>
      <c r="Y13" s="897"/>
      <c r="Z13" s="897"/>
      <c r="AA13" s="755">
        <v>0.7562</v>
      </c>
      <c r="AD13" s="756"/>
      <c r="AE13" s="757"/>
    </row>
    <row r="14" spans="2:30" ht="15" customHeight="1">
      <c r="B14" s="753" t="s">
        <v>4</v>
      </c>
      <c r="C14" s="125">
        <v>0.3125</v>
      </c>
      <c r="D14" s="747" t="s">
        <v>8</v>
      </c>
      <c r="E14" s="12"/>
      <c r="F14" s="12"/>
      <c r="G14" s="12"/>
      <c r="H14" s="12"/>
      <c r="I14" s="241" t="str">
        <f>'[8]BASE '!$J$14</f>
        <v>POSTO:</v>
      </c>
      <c r="J14" s="876" t="str">
        <f>'[8]BASE '!$L$14</f>
        <v>Governador Valadares-MG</v>
      </c>
      <c r="K14" s="876"/>
      <c r="L14" s="877"/>
      <c r="M14" s="626"/>
      <c r="P14" s="758"/>
      <c r="R14" s="842"/>
      <c r="S14" s="846" t="s">
        <v>85</v>
      </c>
      <c r="T14" s="846"/>
      <c r="U14" s="846"/>
      <c r="V14" s="160"/>
      <c r="W14" s="147"/>
      <c r="X14" s="898" t="s">
        <v>364</v>
      </c>
      <c r="Y14" s="898"/>
      <c r="Z14" s="898"/>
      <c r="AA14" s="759">
        <v>39.401</v>
      </c>
      <c r="AD14" s="166">
        <f>0.278*J17*POWER(10,-5)</f>
        <v>0.00040068140000000004</v>
      </c>
    </row>
    <row r="15" spans="2:30" ht="15" customHeight="1">
      <c r="B15" s="753" t="s">
        <v>5</v>
      </c>
      <c r="C15" s="125">
        <v>1.5308</v>
      </c>
      <c r="D15" s="747" t="s">
        <v>7</v>
      </c>
      <c r="E15" s="702"/>
      <c r="F15" s="702"/>
      <c r="G15" s="702"/>
      <c r="H15" s="702"/>
      <c r="I15" s="760" t="s">
        <v>18</v>
      </c>
      <c r="J15" s="34">
        <f>'[8]BASE '!K15</f>
        <v>10</v>
      </c>
      <c r="K15" s="702" t="s">
        <v>12</v>
      </c>
      <c r="L15" s="761"/>
      <c r="M15" s="747"/>
      <c r="N15" s="762"/>
      <c r="O15" s="763"/>
      <c r="AD15" s="163">
        <f>$AA$13/$AD$14</f>
        <v>1887.2850099854895</v>
      </c>
    </row>
    <row r="16" spans="2:16" ht="15" customHeight="1">
      <c r="B16" s="753" t="s">
        <v>6</v>
      </c>
      <c r="C16" s="125">
        <f>C14/C15</f>
        <v>0.20414162529396396</v>
      </c>
      <c r="D16" s="702" t="s">
        <v>7</v>
      </c>
      <c r="E16" s="705">
        <f>POWER($C$16,2/3)</f>
        <v>0.3467004287668474</v>
      </c>
      <c r="F16" s="702"/>
      <c r="G16" s="702"/>
      <c r="H16" s="702"/>
      <c r="I16" s="760" t="s">
        <v>17</v>
      </c>
      <c r="J16" s="34">
        <f>'[8]BASE '!K16</f>
        <v>10</v>
      </c>
      <c r="K16" s="702" t="s">
        <v>13</v>
      </c>
      <c r="L16" s="761"/>
      <c r="M16" s="747"/>
      <c r="N16" s="729"/>
      <c r="O16" s="652" t="s">
        <v>335</v>
      </c>
      <c r="P16" s="125">
        <v>0.015</v>
      </c>
    </row>
    <row r="17" spans="2:16" ht="15" customHeight="1">
      <c r="B17" s="753" t="s">
        <v>9</v>
      </c>
      <c r="C17" s="125">
        <v>0.015</v>
      </c>
      <c r="D17" s="747"/>
      <c r="E17" s="747"/>
      <c r="F17" s="747"/>
      <c r="G17" s="747"/>
      <c r="H17" s="747"/>
      <c r="I17" s="760" t="s">
        <v>19</v>
      </c>
      <c r="J17" s="34">
        <f>'[8]BASE '!K17</f>
        <v>144.13</v>
      </c>
      <c r="K17" s="702" t="s">
        <v>14</v>
      </c>
      <c r="L17" s="761"/>
      <c r="M17" s="747"/>
      <c r="N17" s="729"/>
      <c r="O17" s="652" t="s">
        <v>336</v>
      </c>
      <c r="P17" s="125">
        <v>0.03</v>
      </c>
    </row>
    <row r="18" spans="2:21" ht="15" customHeight="1">
      <c r="B18" s="184" t="s">
        <v>97</v>
      </c>
      <c r="C18" s="186">
        <f aca="true" t="shared" si="0" ref="C18:L18">C19*$C$14</f>
        <v>0.7222925599309321</v>
      </c>
      <c r="D18" s="186">
        <f t="shared" si="0"/>
        <v>1.0214759342555058</v>
      </c>
      <c r="E18" s="186">
        <f t="shared" si="0"/>
        <v>1.2510474117293626</v>
      </c>
      <c r="F18" s="186">
        <f t="shared" si="0"/>
        <v>1.4445851198618642</v>
      </c>
      <c r="G18" s="186">
        <f t="shared" si="0"/>
        <v>1.615095263647905</v>
      </c>
      <c r="H18" s="186">
        <f t="shared" si="0"/>
        <v>1.7692482168394221</v>
      </c>
      <c r="I18" s="186">
        <f t="shared" si="0"/>
        <v>1.9110064874094632</v>
      </c>
      <c r="J18" s="186">
        <f t="shared" si="0"/>
        <v>2.0429518685110115</v>
      </c>
      <c r="K18" s="186">
        <f t="shared" si="0"/>
        <v>2.166877679792796</v>
      </c>
      <c r="L18" s="187">
        <f t="shared" si="0"/>
        <v>2.284089626375417</v>
      </c>
      <c r="M18" s="169"/>
      <c r="N18" s="13"/>
      <c r="O18" s="652" t="s">
        <v>337</v>
      </c>
      <c r="P18" s="125">
        <v>0.025</v>
      </c>
      <c r="Q18" s="7" t="s">
        <v>16</v>
      </c>
      <c r="R18" s="7"/>
      <c r="S18" s="729"/>
      <c r="T18" s="729"/>
      <c r="U18" s="729"/>
    </row>
    <row r="19" spans="2:21" ht="15" customHeight="1">
      <c r="B19" s="185" t="s">
        <v>16</v>
      </c>
      <c r="C19" s="186">
        <f aca="true" t="shared" si="1" ref="C19:L19">($E$16/$C$17)*POWER(C22/100,1/2)</f>
        <v>2.3113361917789828</v>
      </c>
      <c r="D19" s="186">
        <f t="shared" si="1"/>
        <v>3.2687229896176184</v>
      </c>
      <c r="E19" s="186">
        <f t="shared" si="1"/>
        <v>4.003351717533961</v>
      </c>
      <c r="F19" s="186">
        <f t="shared" si="1"/>
        <v>4.6226723835579655</v>
      </c>
      <c r="G19" s="186">
        <f t="shared" si="1"/>
        <v>5.168304843673296</v>
      </c>
      <c r="H19" s="186">
        <f t="shared" si="1"/>
        <v>5.661594293886151</v>
      </c>
      <c r="I19" s="186">
        <f t="shared" si="1"/>
        <v>6.115220759710282</v>
      </c>
      <c r="J19" s="186">
        <f t="shared" si="1"/>
        <v>6.537445979235237</v>
      </c>
      <c r="K19" s="186">
        <f t="shared" si="1"/>
        <v>6.934008575336948</v>
      </c>
      <c r="L19" s="187">
        <f t="shared" si="1"/>
        <v>7.309086804401335</v>
      </c>
      <c r="M19" s="764"/>
      <c r="N19" s="10"/>
      <c r="O19" s="10"/>
      <c r="P19" s="765"/>
      <c r="Q19" s="765"/>
      <c r="R19" s="169"/>
      <c r="S19" s="603"/>
      <c r="T19" s="729"/>
      <c r="U19" s="729"/>
    </row>
    <row r="20" spans="2:21" ht="12.75">
      <c r="B20" s="709" t="s">
        <v>143</v>
      </c>
      <c r="C20" s="849" t="s">
        <v>20</v>
      </c>
      <c r="D20" s="850"/>
      <c r="E20" s="850"/>
      <c r="F20" s="850"/>
      <c r="G20" s="850"/>
      <c r="H20" s="850"/>
      <c r="I20" s="850"/>
      <c r="J20" s="850"/>
      <c r="K20" s="850"/>
      <c r="L20" s="851"/>
      <c r="M20" s="710"/>
      <c r="N20" s="8"/>
      <c r="O20" s="17" t="s">
        <v>10</v>
      </c>
      <c r="P20" s="766">
        <v>0.35</v>
      </c>
      <c r="Q20" s="31"/>
      <c r="R20" s="652"/>
      <c r="S20" s="767"/>
      <c r="T20" s="729"/>
      <c r="U20" s="729"/>
    </row>
    <row r="21" spans="2:21" ht="12.75">
      <c r="B21" s="712" t="s">
        <v>341</v>
      </c>
      <c r="C21" s="852"/>
      <c r="D21" s="853"/>
      <c r="E21" s="853"/>
      <c r="F21" s="853"/>
      <c r="G21" s="853"/>
      <c r="H21" s="853"/>
      <c r="I21" s="853"/>
      <c r="J21" s="853"/>
      <c r="K21" s="853"/>
      <c r="L21" s="854"/>
      <c r="M21" s="710"/>
      <c r="O21" s="17"/>
      <c r="P21" s="302"/>
      <c r="Q21" s="31"/>
      <c r="R21" s="652"/>
      <c r="S21" s="302"/>
      <c r="T21" s="729"/>
      <c r="U21" s="729"/>
    </row>
    <row r="22" spans="2:21" ht="12.75">
      <c r="B22" s="27" t="s">
        <v>343</v>
      </c>
      <c r="C22" s="904">
        <v>1</v>
      </c>
      <c r="D22" s="900">
        <v>2</v>
      </c>
      <c r="E22" s="900">
        <v>3</v>
      </c>
      <c r="F22" s="900">
        <v>4</v>
      </c>
      <c r="G22" s="900">
        <v>5</v>
      </c>
      <c r="H22" s="900">
        <v>6</v>
      </c>
      <c r="I22" s="900">
        <v>7</v>
      </c>
      <c r="J22" s="900">
        <v>8</v>
      </c>
      <c r="K22" s="900">
        <v>9</v>
      </c>
      <c r="L22" s="906">
        <v>10</v>
      </c>
      <c r="M22" s="899"/>
      <c r="O22" s="7" t="s">
        <v>22</v>
      </c>
      <c r="P22" s="7" t="s">
        <v>21</v>
      </c>
      <c r="Q22" s="7" t="s">
        <v>23</v>
      </c>
      <c r="R22" s="34"/>
      <c r="S22" s="34"/>
      <c r="T22" s="7" t="s">
        <v>3</v>
      </c>
      <c r="U22" s="7"/>
    </row>
    <row r="23" spans="2:21" ht="12.75">
      <c r="B23" s="25" t="s">
        <v>1</v>
      </c>
      <c r="C23" s="905"/>
      <c r="D23" s="901"/>
      <c r="E23" s="901"/>
      <c r="F23" s="901"/>
      <c r="G23" s="901"/>
      <c r="H23" s="901"/>
      <c r="I23" s="901"/>
      <c r="J23" s="901"/>
      <c r="K23" s="901"/>
      <c r="L23" s="907"/>
      <c r="M23" s="899"/>
      <c r="O23" s="768">
        <f>($C$14*$E$16)/$C$17</f>
        <v>7.222925599309321</v>
      </c>
      <c r="P23" s="769"/>
      <c r="Q23" s="770"/>
      <c r="R23" s="34"/>
      <c r="S23" s="692"/>
      <c r="T23" s="7" t="s">
        <v>36</v>
      </c>
      <c r="U23" s="603"/>
    </row>
    <row r="24" spans="2:21" ht="18" customHeight="1">
      <c r="B24" s="718">
        <v>50</v>
      </c>
      <c r="C24" s="71">
        <f aca="true" t="shared" si="2" ref="C24:C33">(($O$23/P24)/10)*SQRT($C$22)</f>
        <v>1030.0917528860048</v>
      </c>
      <c r="D24" s="65">
        <f aca="true" t="shared" si="3" ref="D24:D33">(($O$23/P24)/10)*SQRT($D$22)</f>
        <v>1456.7697274200627</v>
      </c>
      <c r="E24" s="65">
        <f aca="true" t="shared" si="4" ref="E24:E33">(($O$23/P24)/10)*SQRT($E$22)</f>
        <v>1784.171252456245</v>
      </c>
      <c r="F24" s="65">
        <f aca="true" t="shared" si="5" ref="F24:F33">(($O$23/P24)/10)*SQRT($F$22)</f>
        <v>2060.1835057720095</v>
      </c>
      <c r="G24" s="65">
        <f aca="true" t="shared" si="6" ref="G24:G33">(($O$23/P24)/10)*SQRT($G$22)</f>
        <v>2303.355182515022</v>
      </c>
      <c r="H24" s="65">
        <f aca="true" t="shared" si="7" ref="H24:H33">(($O$23/P24)/10)*SQRT($H$22)</f>
        <v>2523.1991828198124</v>
      </c>
      <c r="I24" s="65">
        <f aca="true" t="shared" si="8" ref="I24:I33">(($O$23/P24)/10)*SQRT($I$22)</f>
        <v>2725.3666057149694</v>
      </c>
      <c r="J24" s="65">
        <f aca="true" t="shared" si="9" ref="J24:J33">(($O$23/P24)/10)*SQRT($J$22)</f>
        <v>2913.5394548401255</v>
      </c>
      <c r="K24" s="65">
        <f aca="true" t="shared" si="10" ref="K24:K33">(($O$23/P24)/10)*SQRT($K$22)</f>
        <v>3090.2752586580145</v>
      </c>
      <c r="L24" s="66">
        <f aca="true" t="shared" si="11" ref="L24:L33">(($O$23/P24)/10)*SQRT($L$22)</f>
        <v>3257.4361380750997</v>
      </c>
      <c r="M24" s="654"/>
      <c r="O24" s="603"/>
      <c r="P24" s="769">
        <f aca="true" t="shared" si="12" ref="P24:P33">((0.278*$J$17*POWER(10,-6)*(($P$20*T24))))</f>
        <v>0.0007011924499999999</v>
      </c>
      <c r="Q24" s="770">
        <f aca="true" t="shared" si="13" ref="Q24:Q30">($O$23/P24)/10</f>
        <v>1030.0917528860048</v>
      </c>
      <c r="R24" s="603"/>
      <c r="S24" s="10"/>
      <c r="T24" s="771">
        <f aca="true" t="shared" si="14" ref="T24:T34">B24</f>
        <v>50</v>
      </c>
      <c r="U24" s="591"/>
    </row>
    <row r="25" spans="2:21" ht="18" customHeight="1">
      <c r="B25" s="720">
        <v>100</v>
      </c>
      <c r="C25" s="72">
        <f t="shared" si="2"/>
        <v>515.0458764430024</v>
      </c>
      <c r="D25" s="67">
        <f t="shared" si="3"/>
        <v>728.3848637100314</v>
      </c>
      <c r="E25" s="67">
        <f t="shared" si="4"/>
        <v>892.0856262281225</v>
      </c>
      <c r="F25" s="67">
        <f t="shared" si="5"/>
        <v>1030.0917528860048</v>
      </c>
      <c r="G25" s="67">
        <f t="shared" si="6"/>
        <v>1151.677591257511</v>
      </c>
      <c r="H25" s="67">
        <f t="shared" si="7"/>
        <v>1261.5995914099062</v>
      </c>
      <c r="I25" s="67">
        <f t="shared" si="8"/>
        <v>1362.6833028574847</v>
      </c>
      <c r="J25" s="67">
        <f t="shared" si="9"/>
        <v>1456.7697274200627</v>
      </c>
      <c r="K25" s="67">
        <f t="shared" si="10"/>
        <v>1545.1376293290073</v>
      </c>
      <c r="L25" s="68">
        <f t="shared" si="11"/>
        <v>1628.7180690375499</v>
      </c>
      <c r="M25" s="654"/>
      <c r="O25" s="603"/>
      <c r="P25" s="769">
        <f t="shared" si="12"/>
        <v>0.0014023848999999999</v>
      </c>
      <c r="Q25" s="770">
        <f t="shared" si="13"/>
        <v>515.0458764430024</v>
      </c>
      <c r="R25" s="603"/>
      <c r="S25" s="10"/>
      <c r="T25" s="771">
        <f t="shared" si="14"/>
        <v>100</v>
      </c>
      <c r="U25" s="591"/>
    </row>
    <row r="26" spans="2:21" ht="18" customHeight="1">
      <c r="B26" s="720">
        <v>150</v>
      </c>
      <c r="C26" s="72">
        <f t="shared" si="2"/>
        <v>343.3639176286682</v>
      </c>
      <c r="D26" s="67">
        <f t="shared" si="3"/>
        <v>485.5899091400209</v>
      </c>
      <c r="E26" s="67">
        <f t="shared" si="4"/>
        <v>594.7237508187483</v>
      </c>
      <c r="F26" s="67">
        <f t="shared" si="5"/>
        <v>686.7278352573364</v>
      </c>
      <c r="G26" s="67">
        <f t="shared" si="6"/>
        <v>767.7850608383405</v>
      </c>
      <c r="H26" s="67">
        <f t="shared" si="7"/>
        <v>841.0663942732708</v>
      </c>
      <c r="I26" s="67">
        <f t="shared" si="8"/>
        <v>908.455535238323</v>
      </c>
      <c r="J26" s="67">
        <f t="shared" si="9"/>
        <v>971.1798182800418</v>
      </c>
      <c r="K26" s="67">
        <f t="shared" si="10"/>
        <v>1030.0917528860045</v>
      </c>
      <c r="L26" s="68">
        <f t="shared" si="11"/>
        <v>1085.8120460250332</v>
      </c>
      <c r="M26" s="654"/>
      <c r="O26" s="603"/>
      <c r="P26" s="769">
        <f t="shared" si="12"/>
        <v>0.00210357735</v>
      </c>
      <c r="Q26" s="770">
        <f t="shared" si="13"/>
        <v>343.3639176286682</v>
      </c>
      <c r="R26" s="603"/>
      <c r="S26" s="10"/>
      <c r="T26" s="771">
        <f t="shared" si="14"/>
        <v>150</v>
      </c>
      <c r="U26" s="591"/>
    </row>
    <row r="27" spans="2:21" ht="18" customHeight="1">
      <c r="B27" s="720">
        <v>200</v>
      </c>
      <c r="C27" s="72">
        <f t="shared" si="2"/>
        <v>257.5229382215012</v>
      </c>
      <c r="D27" s="67">
        <f t="shared" si="3"/>
        <v>364.1924318550157</v>
      </c>
      <c r="E27" s="67">
        <f t="shared" si="4"/>
        <v>446.04281311406123</v>
      </c>
      <c r="F27" s="67">
        <f t="shared" si="5"/>
        <v>515.0458764430024</v>
      </c>
      <c r="G27" s="67">
        <f t="shared" si="6"/>
        <v>575.8387956287555</v>
      </c>
      <c r="H27" s="67">
        <f t="shared" si="7"/>
        <v>630.7997957049531</v>
      </c>
      <c r="I27" s="67">
        <f t="shared" si="8"/>
        <v>681.3416514287424</v>
      </c>
      <c r="J27" s="67">
        <f t="shared" si="9"/>
        <v>728.3848637100314</v>
      </c>
      <c r="K27" s="67">
        <f t="shared" si="10"/>
        <v>772.5688146645036</v>
      </c>
      <c r="L27" s="68">
        <f t="shared" si="11"/>
        <v>814.3590345187749</v>
      </c>
      <c r="M27" s="654"/>
      <c r="O27" s="603"/>
      <c r="P27" s="769">
        <f t="shared" si="12"/>
        <v>0.0028047697999999998</v>
      </c>
      <c r="Q27" s="770">
        <f t="shared" si="13"/>
        <v>257.5229382215012</v>
      </c>
      <c r="R27" s="603"/>
      <c r="S27" s="10"/>
      <c r="T27" s="771">
        <f t="shared" si="14"/>
        <v>200</v>
      </c>
      <c r="U27" s="591"/>
    </row>
    <row r="28" spans="2:21" ht="18" customHeight="1">
      <c r="B28" s="720">
        <v>250</v>
      </c>
      <c r="C28" s="72">
        <f t="shared" si="2"/>
        <v>206.01835057720092</v>
      </c>
      <c r="D28" s="67">
        <f t="shared" si="3"/>
        <v>291.3539454840125</v>
      </c>
      <c r="E28" s="67">
        <f t="shared" si="4"/>
        <v>356.8342504912489</v>
      </c>
      <c r="F28" s="67">
        <f t="shared" si="5"/>
        <v>412.03670115440184</v>
      </c>
      <c r="G28" s="67">
        <f t="shared" si="6"/>
        <v>460.6710365030043</v>
      </c>
      <c r="H28" s="67">
        <f t="shared" si="7"/>
        <v>504.63983656396243</v>
      </c>
      <c r="I28" s="67">
        <f t="shared" si="8"/>
        <v>545.0733211429938</v>
      </c>
      <c r="J28" s="67">
        <f t="shared" si="9"/>
        <v>582.707890968025</v>
      </c>
      <c r="K28" s="67">
        <f t="shared" si="10"/>
        <v>618.0550517316028</v>
      </c>
      <c r="L28" s="68">
        <f t="shared" si="11"/>
        <v>651.4872276150198</v>
      </c>
      <c r="M28" s="654"/>
      <c r="O28" s="603"/>
      <c r="P28" s="769">
        <f t="shared" si="12"/>
        <v>0.00350596225</v>
      </c>
      <c r="Q28" s="770">
        <f t="shared" si="13"/>
        <v>206.01835057720092</v>
      </c>
      <c r="R28" s="603"/>
      <c r="S28" s="10"/>
      <c r="T28" s="771">
        <f t="shared" si="14"/>
        <v>250</v>
      </c>
      <c r="U28" s="591"/>
    </row>
    <row r="29" spans="2:21" ht="18" customHeight="1">
      <c r="B29" s="720">
        <v>300</v>
      </c>
      <c r="C29" s="72">
        <f t="shared" si="2"/>
        <v>171.6819588143341</v>
      </c>
      <c r="D29" s="67">
        <f t="shared" si="3"/>
        <v>242.79495457001045</v>
      </c>
      <c r="E29" s="67">
        <f t="shared" si="4"/>
        <v>297.36187540937414</v>
      </c>
      <c r="F29" s="67">
        <f t="shared" si="5"/>
        <v>343.3639176286682</v>
      </c>
      <c r="G29" s="67">
        <f t="shared" si="6"/>
        <v>383.89253041917027</v>
      </c>
      <c r="H29" s="67">
        <f t="shared" si="7"/>
        <v>420.5331971366354</v>
      </c>
      <c r="I29" s="67">
        <f t="shared" si="8"/>
        <v>454.2277676191615</v>
      </c>
      <c r="J29" s="67">
        <f t="shared" si="9"/>
        <v>485.5899091400209</v>
      </c>
      <c r="K29" s="67">
        <f t="shared" si="10"/>
        <v>515.0458764430023</v>
      </c>
      <c r="L29" s="68">
        <f t="shared" si="11"/>
        <v>542.9060230125166</v>
      </c>
      <c r="M29" s="654"/>
      <c r="O29" s="603"/>
      <c r="P29" s="769">
        <f t="shared" si="12"/>
        <v>0.0042071547</v>
      </c>
      <c r="Q29" s="770">
        <f t="shared" si="13"/>
        <v>171.6819588143341</v>
      </c>
      <c r="R29" s="603"/>
      <c r="S29" s="10"/>
      <c r="T29" s="771">
        <f t="shared" si="14"/>
        <v>300</v>
      </c>
      <c r="U29" s="591"/>
    </row>
    <row r="30" spans="2:21" ht="18" customHeight="1">
      <c r="B30" s="720">
        <v>400</v>
      </c>
      <c r="C30" s="72">
        <f t="shared" si="2"/>
        <v>128.7614691107506</v>
      </c>
      <c r="D30" s="67">
        <f t="shared" si="3"/>
        <v>182.09621592750784</v>
      </c>
      <c r="E30" s="67">
        <f t="shared" si="4"/>
        <v>223.02140655703062</v>
      </c>
      <c r="F30" s="67">
        <f t="shared" si="5"/>
        <v>257.5229382215012</v>
      </c>
      <c r="G30" s="67">
        <f t="shared" si="6"/>
        <v>287.91939781437776</v>
      </c>
      <c r="H30" s="67">
        <f t="shared" si="7"/>
        <v>315.39989785247656</v>
      </c>
      <c r="I30" s="67">
        <f t="shared" si="8"/>
        <v>340.6708257143712</v>
      </c>
      <c r="J30" s="67">
        <f t="shared" si="9"/>
        <v>364.1924318550157</v>
      </c>
      <c r="K30" s="67">
        <f t="shared" si="10"/>
        <v>386.2844073322518</v>
      </c>
      <c r="L30" s="68">
        <f t="shared" si="11"/>
        <v>407.17951725938747</v>
      </c>
      <c r="M30" s="654"/>
      <c r="O30" s="603"/>
      <c r="P30" s="769">
        <f t="shared" si="12"/>
        <v>0.0056095395999999995</v>
      </c>
      <c r="Q30" s="770">
        <f t="shared" si="13"/>
        <v>128.7614691107506</v>
      </c>
      <c r="R30" s="603"/>
      <c r="S30" s="10"/>
      <c r="T30" s="771">
        <f t="shared" si="14"/>
        <v>400</v>
      </c>
      <c r="U30" s="591"/>
    </row>
    <row r="31" spans="2:21" ht="18" customHeight="1">
      <c r="B31" s="720">
        <v>500</v>
      </c>
      <c r="C31" s="72">
        <f t="shared" si="2"/>
        <v>103.00917528860046</v>
      </c>
      <c r="D31" s="67">
        <f t="shared" si="3"/>
        <v>145.67697274200626</v>
      </c>
      <c r="E31" s="67">
        <f t="shared" si="4"/>
        <v>178.41712524562445</v>
      </c>
      <c r="F31" s="67">
        <f t="shared" si="5"/>
        <v>206.01835057720092</v>
      </c>
      <c r="G31" s="67">
        <f t="shared" si="6"/>
        <v>230.33551825150215</v>
      </c>
      <c r="H31" s="67">
        <f t="shared" si="7"/>
        <v>252.31991828198122</v>
      </c>
      <c r="I31" s="67">
        <f t="shared" si="8"/>
        <v>272.5366605714969</v>
      </c>
      <c r="J31" s="67">
        <f t="shared" si="9"/>
        <v>291.3539454840125</v>
      </c>
      <c r="K31" s="67">
        <f t="shared" si="10"/>
        <v>309.0275258658014</v>
      </c>
      <c r="L31" s="68">
        <f t="shared" si="11"/>
        <v>325.7436138075099</v>
      </c>
      <c r="M31" s="654"/>
      <c r="O31" s="603"/>
      <c r="P31" s="769">
        <f t="shared" si="12"/>
        <v>0.0070119245</v>
      </c>
      <c r="Q31" s="770"/>
      <c r="R31" s="603"/>
      <c r="S31" s="10"/>
      <c r="T31" s="771">
        <f t="shared" si="14"/>
        <v>500</v>
      </c>
      <c r="U31" s="591"/>
    </row>
    <row r="32" spans="2:21" ht="18" customHeight="1">
      <c r="B32" s="720">
        <v>750</v>
      </c>
      <c r="C32" s="72">
        <f t="shared" si="2"/>
        <v>68.67278352573365</v>
      </c>
      <c r="D32" s="67">
        <f t="shared" si="3"/>
        <v>97.11798182800419</v>
      </c>
      <c r="E32" s="67">
        <f t="shared" si="4"/>
        <v>118.94475016374966</v>
      </c>
      <c r="F32" s="67">
        <f t="shared" si="5"/>
        <v>137.3455670514673</v>
      </c>
      <c r="G32" s="67">
        <f t="shared" si="6"/>
        <v>153.55701216766812</v>
      </c>
      <c r="H32" s="67">
        <f t="shared" si="7"/>
        <v>168.21327885465416</v>
      </c>
      <c r="I32" s="67">
        <f t="shared" si="8"/>
        <v>181.69110704766462</v>
      </c>
      <c r="J32" s="67">
        <f t="shared" si="9"/>
        <v>194.23596365600838</v>
      </c>
      <c r="K32" s="67">
        <f t="shared" si="10"/>
        <v>206.01835057720095</v>
      </c>
      <c r="L32" s="68">
        <f t="shared" si="11"/>
        <v>217.16240920500664</v>
      </c>
      <c r="M32" s="654"/>
      <c r="O32" s="603"/>
      <c r="P32" s="769">
        <f t="shared" si="12"/>
        <v>0.01051788675</v>
      </c>
      <c r="Q32" s="770"/>
      <c r="R32" s="603"/>
      <c r="S32" s="10"/>
      <c r="T32" s="771">
        <f t="shared" si="14"/>
        <v>750</v>
      </c>
      <c r="U32" s="591"/>
    </row>
    <row r="33" spans="1:21" ht="18" customHeight="1">
      <c r="A33" s="772"/>
      <c r="B33" s="722">
        <v>1000</v>
      </c>
      <c r="C33" s="72">
        <f t="shared" si="2"/>
        <v>51.50458764430023</v>
      </c>
      <c r="D33" s="67">
        <f t="shared" si="3"/>
        <v>72.83848637100313</v>
      </c>
      <c r="E33" s="67">
        <f t="shared" si="4"/>
        <v>89.20856262281222</v>
      </c>
      <c r="F33" s="67">
        <f t="shared" si="5"/>
        <v>103.00917528860046</v>
      </c>
      <c r="G33" s="67">
        <f t="shared" si="6"/>
        <v>115.16775912575108</v>
      </c>
      <c r="H33" s="67">
        <f t="shared" si="7"/>
        <v>126.15995914099061</v>
      </c>
      <c r="I33" s="67">
        <f t="shared" si="8"/>
        <v>136.26833028574845</v>
      </c>
      <c r="J33" s="67">
        <f t="shared" si="9"/>
        <v>145.67697274200626</v>
      </c>
      <c r="K33" s="67">
        <f t="shared" si="10"/>
        <v>154.5137629329007</v>
      </c>
      <c r="L33" s="68">
        <f t="shared" si="11"/>
        <v>162.87180690375496</v>
      </c>
      <c r="M33" s="654"/>
      <c r="N33" s="772"/>
      <c r="O33" s="34"/>
      <c r="P33" s="769">
        <f t="shared" si="12"/>
        <v>0.014023849</v>
      </c>
      <c r="Q33" s="770">
        <f>($O$23/P33)/10</f>
        <v>51.50458764430023</v>
      </c>
      <c r="R33" s="34"/>
      <c r="S33" s="10"/>
      <c r="T33" s="771">
        <f t="shared" si="14"/>
        <v>1000</v>
      </c>
      <c r="U33" s="169"/>
    </row>
    <row r="34" spans="2:20" ht="18" customHeight="1">
      <c r="B34" s="773"/>
      <c r="C34" s="740"/>
      <c r="D34" s="740"/>
      <c r="E34" s="740"/>
      <c r="F34" s="740"/>
      <c r="G34" s="740"/>
      <c r="H34" s="740"/>
      <c r="I34" s="740"/>
      <c r="J34" s="740"/>
      <c r="K34" s="740"/>
      <c r="L34" s="741"/>
      <c r="Q34" s="192"/>
      <c r="T34" s="771">
        <f t="shared" si="14"/>
        <v>0</v>
      </c>
    </row>
    <row r="35" spans="2:12" ht="18" customHeight="1">
      <c r="B35" s="739"/>
      <c r="C35" s="17" t="s">
        <v>31</v>
      </c>
      <c r="D35" s="890">
        <f>O40</f>
        <v>18026.60567550508</v>
      </c>
      <c r="E35" s="890"/>
      <c r="F35" s="7" t="s">
        <v>33</v>
      </c>
      <c r="G35" s="183" t="s">
        <v>344</v>
      </c>
      <c r="H35" s="725">
        <f>P20</f>
        <v>0.35</v>
      </c>
      <c r="I35" s="293" t="s">
        <v>356</v>
      </c>
      <c r="J35" s="8"/>
      <c r="K35" s="8"/>
      <c r="L35" s="346"/>
    </row>
    <row r="36" spans="2:19" ht="15" customHeight="1">
      <c r="B36" s="739"/>
      <c r="C36" s="729"/>
      <c r="D36" s="729"/>
      <c r="E36" s="729"/>
      <c r="F36" s="729"/>
      <c r="H36" s="729"/>
      <c r="I36" s="729"/>
      <c r="J36" s="729"/>
      <c r="K36" s="729"/>
      <c r="L36" s="742"/>
      <c r="R36" s="762"/>
      <c r="S36" s="762"/>
    </row>
    <row r="37" spans="2:19" ht="15" customHeight="1">
      <c r="B37" s="739"/>
      <c r="C37" s="8"/>
      <c r="D37" s="8"/>
      <c r="E37" s="8"/>
      <c r="F37" s="8"/>
      <c r="G37" s="8"/>
      <c r="H37" s="8"/>
      <c r="I37" s="8"/>
      <c r="J37" s="8"/>
      <c r="K37" s="8"/>
      <c r="L37" s="346"/>
      <c r="N37" s="729"/>
      <c r="R37" s="762"/>
      <c r="S37" s="762"/>
    </row>
    <row r="38" spans="2:19" ht="15" customHeight="1">
      <c r="B38" s="739"/>
      <c r="C38" s="17" t="s">
        <v>31</v>
      </c>
      <c r="D38" s="8" t="s">
        <v>25</v>
      </c>
      <c r="E38" s="8"/>
      <c r="F38" s="8"/>
      <c r="G38" s="8"/>
      <c r="H38" s="8"/>
      <c r="I38" s="8"/>
      <c r="J38" s="8"/>
      <c r="K38" s="8"/>
      <c r="L38" s="346"/>
      <c r="N38" s="729"/>
      <c r="O38" s="97">
        <f>O23</f>
        <v>7.222925599309321</v>
      </c>
      <c r="R38" s="762"/>
      <c r="S38" s="762"/>
    </row>
    <row r="39" spans="2:19" ht="15" customHeight="1">
      <c r="B39" s="739"/>
      <c r="C39" s="17" t="s">
        <v>32</v>
      </c>
      <c r="D39" s="8" t="s">
        <v>345</v>
      </c>
      <c r="E39" s="8"/>
      <c r="F39" s="8"/>
      <c r="G39" s="8"/>
      <c r="H39" s="8"/>
      <c r="I39" s="8"/>
      <c r="J39" s="8"/>
      <c r="K39" s="8"/>
      <c r="L39" s="346"/>
      <c r="N39" s="729"/>
      <c r="O39" s="774">
        <f>((0.278*$J$17*POWER(10,-6)))</f>
        <v>4.006814E-05</v>
      </c>
      <c r="R39" s="762"/>
      <c r="S39" s="762"/>
    </row>
    <row r="40" spans="2:19" ht="15" customHeight="1">
      <c r="B40" s="739"/>
      <c r="C40" s="17" t="s">
        <v>357</v>
      </c>
      <c r="D40" s="8" t="s">
        <v>346</v>
      </c>
      <c r="E40" s="8"/>
      <c r="F40" s="8"/>
      <c r="G40" s="8"/>
      <c r="H40" s="8"/>
      <c r="I40" s="8"/>
      <c r="J40" s="8"/>
      <c r="K40" s="130" t="s">
        <v>34</v>
      </c>
      <c r="L40" s="346"/>
      <c r="N40" s="729"/>
      <c r="O40" s="102">
        <f>(O38/O39)/10</f>
        <v>18026.60567550508</v>
      </c>
      <c r="R40" s="762"/>
      <c r="S40" s="762"/>
    </row>
    <row r="41" spans="2:19" ht="15" customHeight="1">
      <c r="B41" s="739"/>
      <c r="C41" s="17" t="s">
        <v>358</v>
      </c>
      <c r="D41" s="860" t="s">
        <v>350</v>
      </c>
      <c r="E41" s="860"/>
      <c r="F41" s="860"/>
      <c r="G41" s="860"/>
      <c r="H41" s="860"/>
      <c r="I41" s="860"/>
      <c r="J41" s="860"/>
      <c r="K41" s="591">
        <f>P20</f>
        <v>0.35</v>
      </c>
      <c r="L41" s="742"/>
      <c r="N41" s="729"/>
      <c r="O41" s="99"/>
      <c r="R41" s="762"/>
      <c r="S41" s="762"/>
    </row>
    <row r="42" spans="2:19" ht="11.25" customHeight="1">
      <c r="B42" s="739"/>
      <c r="C42" s="729"/>
      <c r="D42" s="729"/>
      <c r="E42" s="729"/>
      <c r="F42" s="729"/>
      <c r="G42" s="729"/>
      <c r="H42" s="729"/>
      <c r="I42" s="729"/>
      <c r="J42" s="729"/>
      <c r="K42" s="729"/>
      <c r="L42" s="742"/>
      <c r="N42" s="729"/>
      <c r="R42" s="762"/>
      <c r="S42" s="762"/>
    </row>
    <row r="43" spans="2:12" ht="28.5" customHeight="1">
      <c r="B43" s="775"/>
      <c r="C43" s="776"/>
      <c r="D43" s="776"/>
      <c r="E43" s="776"/>
      <c r="F43" s="776"/>
      <c r="G43" s="776"/>
      <c r="H43" s="776"/>
      <c r="I43" s="776"/>
      <c r="J43" s="776"/>
      <c r="K43" s="776"/>
      <c r="L43" s="777"/>
    </row>
  </sheetData>
  <sheetProtection/>
  <mergeCells count="32">
    <mergeCell ref="D41:J41"/>
    <mergeCell ref="C12:L12"/>
    <mergeCell ref="C22:C23"/>
    <mergeCell ref="D22:D23"/>
    <mergeCell ref="E22:E23"/>
    <mergeCell ref="F22:F23"/>
    <mergeCell ref="D35:E35"/>
    <mergeCell ref="L22:L23"/>
    <mergeCell ref="J14:L14"/>
    <mergeCell ref="M22:M23"/>
    <mergeCell ref="C20:L21"/>
    <mergeCell ref="K22:K23"/>
    <mergeCell ref="G22:G23"/>
    <mergeCell ref="H22:H23"/>
    <mergeCell ref="I22:I23"/>
    <mergeCell ref="J22:J23"/>
    <mergeCell ref="X5:Z5"/>
    <mergeCell ref="R9:X9"/>
    <mergeCell ref="S10:X10"/>
    <mergeCell ref="R13:R14"/>
    <mergeCell ref="U13:V13"/>
    <mergeCell ref="X13:Z13"/>
    <mergeCell ref="S14:U14"/>
    <mergeCell ref="X14:Z14"/>
    <mergeCell ref="F2:L2"/>
    <mergeCell ref="F4:L4"/>
    <mergeCell ref="F5:L5"/>
    <mergeCell ref="B11:L11"/>
    <mergeCell ref="B7:L7"/>
    <mergeCell ref="B10:L10"/>
    <mergeCell ref="F3:L3"/>
    <mergeCell ref="B2:E5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3"/>
  <legacyDrawing r:id="rId2"/>
  <oleObjects>
    <oleObject progId="Equation.3" shapeId="1367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W133"/>
  <sheetViews>
    <sheetView zoomScalePageLayoutView="0" workbookViewId="0" topLeftCell="A42">
      <selection activeCell="J69" sqref="J69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'[8]BASE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'[8]BASE '!G3</f>
        <v>Rodovia: MG-314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'[8]BASE '!G4</f>
        <v>Trecho: Entrº MG-416 (Peçanha) - LMG-744 (Coroaci)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>
        <f>'[8]BASE '!G5</f>
        <v>0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48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 t="s">
        <v>54</v>
      </c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354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0.02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'[8]BASE '!$L$14</f>
        <v>Governador Valadares-MG</v>
      </c>
      <c r="M14" s="922"/>
      <c r="N14" s="922"/>
      <c r="O14" s="923"/>
      <c r="P14" s="299"/>
    </row>
    <row r="15" spans="3:16" ht="15" customHeight="1" thickBot="1">
      <c r="C15" s="87" t="s">
        <v>5</v>
      </c>
      <c r="D15" s="125">
        <v>0.457</v>
      </c>
      <c r="E15" s="5" t="s">
        <v>7</v>
      </c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0.0437636761487965</v>
      </c>
      <c r="E16" s="8" t="s">
        <v>7</v>
      </c>
      <c r="F16" s="92">
        <f>POWER($D$16,2/3)</f>
        <v>0.1241869221705623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f>'[8]BASE '!K17</f>
        <v>144.13</v>
      </c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778">
        <f aca="true" t="shared" si="0" ref="D18:O18">D19*$D$14</f>
        <v>0.008279128144704155</v>
      </c>
      <c r="E18" s="778">
        <f t="shared" si="0"/>
        <v>0.011708455306865415</v>
      </c>
      <c r="F18" s="778">
        <f t="shared" si="0"/>
        <v>0.01655825628940831</v>
      </c>
      <c r="G18" s="778">
        <f t="shared" si="0"/>
        <v>0.02027963946964035</v>
      </c>
      <c r="H18" s="778">
        <f t="shared" si="0"/>
        <v>0.02341691061373083</v>
      </c>
      <c r="I18" s="778">
        <f t="shared" si="0"/>
        <v>0.02618090197766923</v>
      </c>
      <c r="J18" s="778">
        <f t="shared" si="0"/>
        <v>0.028679741178002104</v>
      </c>
      <c r="K18" s="778">
        <f t="shared" si="0"/>
        <v>0.03097766097868034</v>
      </c>
      <c r="L18" s="778">
        <f t="shared" si="0"/>
        <v>0.03311651257881662</v>
      </c>
      <c r="M18" s="778">
        <f t="shared" si="0"/>
        <v>0.03702538665198041</v>
      </c>
      <c r="N18" s="778">
        <f t="shared" si="0"/>
        <v>0.0405592789392807</v>
      </c>
      <c r="O18" s="779">
        <f t="shared" si="0"/>
        <v>0.04380902828664554</v>
      </c>
      <c r="P18" s="310"/>
      <c r="Q18" s="46" t="s">
        <v>139</v>
      </c>
      <c r="R18" s="311">
        <v>0.9</v>
      </c>
      <c r="S18" s="31"/>
      <c r="T18" s="38" t="s">
        <v>29</v>
      </c>
      <c r="U18" s="311">
        <v>4.3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0.41395640723520777</v>
      </c>
      <c r="E19" s="188">
        <f t="shared" si="1"/>
        <v>0.5854227653432708</v>
      </c>
      <c r="F19" s="188">
        <f t="shared" si="1"/>
        <v>0.8279128144704155</v>
      </c>
      <c r="G19" s="188">
        <f t="shared" si="1"/>
        <v>1.0139819734820175</v>
      </c>
      <c r="H19" s="188">
        <f t="shared" si="1"/>
        <v>1.1708455306865415</v>
      </c>
      <c r="I19" s="188">
        <f t="shared" si="1"/>
        <v>1.3090450988834614</v>
      </c>
      <c r="J19" s="188">
        <f t="shared" si="1"/>
        <v>1.4339870589001051</v>
      </c>
      <c r="K19" s="188">
        <f t="shared" si="1"/>
        <v>1.5488830489340168</v>
      </c>
      <c r="L19" s="188">
        <f t="shared" si="1"/>
        <v>1.655825628940831</v>
      </c>
      <c r="M19" s="188">
        <f t="shared" si="1"/>
        <v>1.8512693325990204</v>
      </c>
      <c r="N19" s="188">
        <f t="shared" si="1"/>
        <v>2.027963946964035</v>
      </c>
      <c r="O19" s="189">
        <f t="shared" si="1"/>
        <v>2.190451414332277</v>
      </c>
      <c r="P19" s="312">
        <v>0.4</v>
      </c>
      <c r="Q19" s="46" t="s">
        <v>140</v>
      </c>
      <c r="R19" s="311">
        <v>0.6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0.16558256289408307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37.432285481682655</v>
      </c>
      <c r="E24" s="65">
        <f aca="true" t="shared" si="3" ref="E24:E33">(($Q$23/R24)/10)*SQRT($E$22)</f>
        <v>52.937245798817116</v>
      </c>
      <c r="F24" s="65">
        <f aca="true" t="shared" si="4" ref="F24:F33">(($Q$23/R24)/10)*SQRT($F$22)</f>
        <v>74.86457096336531</v>
      </c>
      <c r="G24" s="65">
        <f aca="true" t="shared" si="5" ref="G24:G33">(($Q$23/R24)/10)*SQRT($G$22)</f>
        <v>91.68999933631333</v>
      </c>
      <c r="H24" s="65">
        <f aca="true" t="shared" si="6" ref="H24:H33">(($Q$23/R24)/10)*SQRT($H$22)</f>
        <v>105.87449159763423</v>
      </c>
      <c r="I24" s="65">
        <f aca="true" t="shared" si="7" ref="I24:I33">(($Q$23/R24)/10)*SQRT($I$22)</f>
        <v>118.37128014777024</v>
      </c>
      <c r="J24" s="65">
        <f aca="true" t="shared" si="8" ref="J24:J33">(($Q$23/R24)/10)*SQRT($J$22)</f>
        <v>129.6692405953944</v>
      </c>
      <c r="K24" s="65">
        <f aca="true" t="shared" si="9" ref="K24:K33">(($Q$23/R24)/10)*SQRT($K$22)</f>
        <v>140.05878747636888</v>
      </c>
      <c r="L24" s="65">
        <f aca="true" t="shared" si="10" ref="L24:L33">(($Q$23/R24)/10)*SQRT($L$22)</f>
        <v>149.72914192673062</v>
      </c>
      <c r="M24" s="65">
        <f aca="true" t="shared" si="11" ref="M24:M33">(($Q$23/R24)/10)*SQRT($M$22)</f>
        <v>167.40226978044177</v>
      </c>
      <c r="N24" s="65">
        <f aca="true" t="shared" si="12" ref="N24:N33">(($Q$23/R24)/10)*SQRT($N$22)</f>
        <v>183.37999867262667</v>
      </c>
      <c r="O24" s="66">
        <f aca="true" t="shared" si="13" ref="O24:O33">(($Q$23/R24)/10)*SQRT($O$22)</f>
        <v>198.07303677861185</v>
      </c>
      <c r="P24" s="299"/>
      <c r="Q24" s="51"/>
      <c r="R24" s="29">
        <f aca="true" t="shared" si="14" ref="R24:R33">((0.278*$K$17*POWER(10,-6)*(($R$18*$U$18)+($R$19*W24)+($R$20*$U$20))))</f>
        <v>0.00022117613279999998</v>
      </c>
      <c r="S24" s="165">
        <f aca="true" t="shared" si="15" ref="S24:S33">($Q$23/R24)/10</f>
        <v>74.86457096336531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33.762453571713756</v>
      </c>
      <c r="E25" s="67">
        <f t="shared" si="3"/>
        <v>47.74731974010954</v>
      </c>
      <c r="F25" s="67">
        <f t="shared" si="4"/>
        <v>67.52490714342751</v>
      </c>
      <c r="G25" s="67">
        <f t="shared" si="5"/>
        <v>82.70078371510611</v>
      </c>
      <c r="H25" s="67">
        <f t="shared" si="6"/>
        <v>95.49463948021908</v>
      </c>
      <c r="I25" s="67">
        <f t="shared" si="7"/>
        <v>106.76625268230252</v>
      </c>
      <c r="J25" s="67">
        <f t="shared" si="8"/>
        <v>116.95656994878706</v>
      </c>
      <c r="K25" s="67">
        <f t="shared" si="9"/>
        <v>126.32753380221502</v>
      </c>
      <c r="L25" s="67">
        <f t="shared" si="10"/>
        <v>135.04981428685502</v>
      </c>
      <c r="M25" s="67">
        <f t="shared" si="11"/>
        <v>150.99028254706508</v>
      </c>
      <c r="N25" s="67">
        <f t="shared" si="12"/>
        <v>165.40156743021222</v>
      </c>
      <c r="O25" s="68">
        <f t="shared" si="13"/>
        <v>178.6541116042381</v>
      </c>
      <c r="P25" s="299"/>
      <c r="Q25" s="51"/>
      <c r="R25" s="30">
        <f t="shared" si="14"/>
        <v>0.0002452170168</v>
      </c>
      <c r="S25" s="78">
        <f t="shared" si="15"/>
        <v>67.52490714342751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32.184768825372</v>
      </c>
      <c r="E26" s="67">
        <f t="shared" si="3"/>
        <v>45.51613657468387</v>
      </c>
      <c r="F26" s="67">
        <f t="shared" si="4"/>
        <v>64.369537650744</v>
      </c>
      <c r="G26" s="67">
        <f t="shared" si="5"/>
        <v>78.8362611115965</v>
      </c>
      <c r="H26" s="67">
        <f t="shared" si="6"/>
        <v>91.03227314936774</v>
      </c>
      <c r="I26" s="67">
        <f t="shared" si="7"/>
        <v>101.77717545415756</v>
      </c>
      <c r="J26" s="67">
        <f t="shared" si="8"/>
        <v>111.49130967080637</v>
      </c>
      <c r="K26" s="67">
        <f t="shared" si="9"/>
        <v>120.4243780170648</v>
      </c>
      <c r="L26" s="67">
        <f t="shared" si="10"/>
        <v>128.739075301488</v>
      </c>
      <c r="M26" s="67">
        <f t="shared" si="11"/>
        <v>143.9346618672957</v>
      </c>
      <c r="N26" s="67">
        <f t="shared" si="12"/>
        <v>157.672522223193</v>
      </c>
      <c r="O26" s="68">
        <f t="shared" si="13"/>
        <v>170.30578863207745</v>
      </c>
      <c r="P26" s="299"/>
      <c r="Q26" s="51"/>
      <c r="R26" s="30">
        <f t="shared" si="14"/>
        <v>0.0002572374588</v>
      </c>
      <c r="S26" s="78">
        <f t="shared" si="15"/>
        <v>64.369537650744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30.747948788525036</v>
      </c>
      <c r="E27" s="67">
        <f t="shared" si="3"/>
        <v>43.484166191885485</v>
      </c>
      <c r="F27" s="67">
        <f t="shared" si="4"/>
        <v>61.49589757705007</v>
      </c>
      <c r="G27" s="67">
        <f t="shared" si="5"/>
        <v>75.31678516911452</v>
      </c>
      <c r="H27" s="67">
        <f t="shared" si="6"/>
        <v>86.96833238377097</v>
      </c>
      <c r="I27" s="67">
        <f t="shared" si="7"/>
        <v>97.23355154995411</v>
      </c>
      <c r="J27" s="67">
        <f t="shared" si="8"/>
        <v>106.51401906050253</v>
      </c>
      <c r="K27" s="67">
        <f t="shared" si="9"/>
        <v>115.04828971273156</v>
      </c>
      <c r="L27" s="67">
        <f t="shared" si="10"/>
        <v>122.99179515410015</v>
      </c>
      <c r="M27" s="67">
        <f t="shared" si="11"/>
        <v>137.5090073196486</v>
      </c>
      <c r="N27" s="67">
        <f t="shared" si="12"/>
        <v>150.63357033822905</v>
      </c>
      <c r="O27" s="68">
        <f t="shared" si="13"/>
        <v>162.70285163957402</v>
      </c>
      <c r="P27" s="299"/>
      <c r="Q27" s="51"/>
      <c r="R27" s="30">
        <f t="shared" si="14"/>
        <v>0.0002692579008</v>
      </c>
      <c r="S27" s="78">
        <f t="shared" si="15"/>
        <v>61.49589757705007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29.433933883032513</v>
      </c>
      <c r="E28" s="67">
        <f t="shared" si="3"/>
        <v>41.62586849137756</v>
      </c>
      <c r="F28" s="67">
        <f t="shared" si="4"/>
        <v>58.867867766065025</v>
      </c>
      <c r="G28" s="67">
        <f t="shared" si="5"/>
        <v>72.09811913624637</v>
      </c>
      <c r="H28" s="67">
        <f t="shared" si="6"/>
        <v>83.25173698275512</v>
      </c>
      <c r="I28" s="67">
        <f t="shared" si="7"/>
        <v>93.07827156918684</v>
      </c>
      <c r="J28" s="67">
        <f t="shared" si="8"/>
        <v>101.9621379040708</v>
      </c>
      <c r="K28" s="67">
        <f t="shared" si="9"/>
        <v>110.1316961352644</v>
      </c>
      <c r="L28" s="67">
        <f t="shared" si="10"/>
        <v>117.73573553213005</v>
      </c>
      <c r="M28" s="67">
        <f t="shared" si="11"/>
        <v>131.6325540153901</v>
      </c>
      <c r="N28" s="67">
        <f t="shared" si="12"/>
        <v>144.19623827249274</v>
      </c>
      <c r="O28" s="68">
        <f t="shared" si="13"/>
        <v>155.7497383216435</v>
      </c>
      <c r="P28" s="299"/>
      <c r="Q28" s="51"/>
      <c r="R28" s="30">
        <f t="shared" si="14"/>
        <v>0.0002812783428</v>
      </c>
      <c r="S28" s="78">
        <f t="shared" si="15"/>
        <v>58.867867766065025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28.22762511733446</v>
      </c>
      <c r="E29" s="67">
        <f t="shared" si="3"/>
        <v>39.91989027451782</v>
      </c>
      <c r="F29" s="67">
        <f t="shared" si="4"/>
        <v>56.45525023466892</v>
      </c>
      <c r="G29" s="67">
        <f t="shared" si="5"/>
        <v>69.14327818803956</v>
      </c>
      <c r="H29" s="67">
        <f t="shared" si="6"/>
        <v>79.83978054903564</v>
      </c>
      <c r="I29" s="67">
        <f t="shared" si="7"/>
        <v>89.2635883081546</v>
      </c>
      <c r="J29" s="67">
        <f t="shared" si="8"/>
        <v>97.78336176046135</v>
      </c>
      <c r="K29" s="67">
        <f t="shared" si="9"/>
        <v>105.61810203136012</v>
      </c>
      <c r="L29" s="67">
        <f t="shared" si="10"/>
        <v>112.91050046933783</v>
      </c>
      <c r="M29" s="67">
        <f t="shared" si="11"/>
        <v>126.23777721148066</v>
      </c>
      <c r="N29" s="67">
        <f t="shared" si="12"/>
        <v>138.28655637607912</v>
      </c>
      <c r="O29" s="68">
        <f t="shared" si="13"/>
        <v>149.36655232485484</v>
      </c>
      <c r="P29" s="299"/>
      <c r="Q29" s="51"/>
      <c r="R29" s="30">
        <f t="shared" si="14"/>
        <v>0.0002932987848</v>
      </c>
      <c r="S29" s="78">
        <f t="shared" si="15"/>
        <v>56.45525023466892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26.089168669051542</v>
      </c>
      <c r="E30" s="67">
        <f t="shared" si="3"/>
        <v>36.895656162811925</v>
      </c>
      <c r="F30" s="67">
        <f t="shared" si="4"/>
        <v>52.178337338103084</v>
      </c>
      <c r="G30" s="67">
        <f t="shared" si="5"/>
        <v>63.905151052582006</v>
      </c>
      <c r="H30" s="67">
        <f t="shared" si="6"/>
        <v>73.79131232562385</v>
      </c>
      <c r="I30" s="67">
        <f t="shared" si="7"/>
        <v>82.50119525450651</v>
      </c>
      <c r="J30" s="67">
        <f t="shared" si="8"/>
        <v>90.37553132406275</v>
      </c>
      <c r="K30" s="67">
        <f t="shared" si="9"/>
        <v>97.61673066534797</v>
      </c>
      <c r="L30" s="67">
        <f t="shared" si="10"/>
        <v>104.35667467620617</v>
      </c>
      <c r="M30" s="67">
        <f t="shared" si="11"/>
        <v>116.67430924091393</v>
      </c>
      <c r="N30" s="67">
        <f t="shared" si="12"/>
        <v>127.81030210516401</v>
      </c>
      <c r="O30" s="68">
        <f t="shared" si="13"/>
        <v>138.05090442145672</v>
      </c>
      <c r="P30" s="299"/>
      <c r="Q30" s="51"/>
      <c r="R30" s="30">
        <f t="shared" si="14"/>
        <v>0.0003173396688</v>
      </c>
      <c r="S30" s="78">
        <f t="shared" si="15"/>
        <v>52.178337338103084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>
        <f t="shared" si="2"/>
        <v>24.251903269822567</v>
      </c>
      <c r="E31" s="67">
        <f t="shared" si="3"/>
        <v>34.297370517543484</v>
      </c>
      <c r="F31" s="67">
        <f t="shared" si="4"/>
        <v>48.50380653964513</v>
      </c>
      <c r="G31" s="67">
        <f t="shared" si="5"/>
        <v>59.40478830240019</v>
      </c>
      <c r="H31" s="67">
        <f t="shared" si="6"/>
        <v>68.59474103508697</v>
      </c>
      <c r="I31" s="67">
        <f t="shared" si="7"/>
        <v>76.69125192672438</v>
      </c>
      <c r="J31" s="67">
        <f t="shared" si="8"/>
        <v>84.01105728715694</v>
      </c>
      <c r="K31" s="67">
        <f t="shared" si="9"/>
        <v>90.7423130128587</v>
      </c>
      <c r="L31" s="67">
        <f t="shared" si="10"/>
        <v>97.00761307929027</v>
      </c>
      <c r="M31" s="67">
        <f t="shared" si="11"/>
        <v>108.45780859014538</v>
      </c>
      <c r="N31" s="67">
        <f t="shared" si="12"/>
        <v>118.80957660480038</v>
      </c>
      <c r="O31" s="68">
        <f t="shared" si="13"/>
        <v>128.32900974388937</v>
      </c>
      <c r="P31" s="299"/>
      <c r="Q31" s="51"/>
      <c r="R31" s="30">
        <f t="shared" si="14"/>
        <v>0.00034138055279999996</v>
      </c>
      <c r="S31" s="78">
        <f t="shared" si="15"/>
        <v>48.50380653964513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22.656383317860552</v>
      </c>
      <c r="E32" s="67">
        <f t="shared" si="3"/>
        <v>32.040964562441935</v>
      </c>
      <c r="F32" s="67">
        <f t="shared" si="4"/>
        <v>45.312766635721104</v>
      </c>
      <c r="G32" s="67">
        <f t="shared" si="5"/>
        <v>55.496578545663326</v>
      </c>
      <c r="H32" s="67">
        <f t="shared" si="6"/>
        <v>64.08192912488387</v>
      </c>
      <c r="I32" s="67">
        <f t="shared" si="7"/>
        <v>71.64577482628198</v>
      </c>
      <c r="J32" s="67">
        <f t="shared" si="8"/>
        <v>78.48401404458082</v>
      </c>
      <c r="K32" s="67">
        <f t="shared" si="9"/>
        <v>84.77242399885483</v>
      </c>
      <c r="L32" s="67">
        <f t="shared" si="10"/>
        <v>90.62553327144221</v>
      </c>
      <c r="M32" s="67">
        <f t="shared" si="11"/>
        <v>101.32242644605684</v>
      </c>
      <c r="N32" s="67">
        <f t="shared" si="12"/>
        <v>110.99315709132665</v>
      </c>
      <c r="O32" s="68">
        <f t="shared" si="13"/>
        <v>119.88631173442296</v>
      </c>
      <c r="P32" s="299"/>
      <c r="Q32" s="51"/>
      <c r="R32" s="30">
        <f t="shared" si="14"/>
        <v>0.00036542143680000003</v>
      </c>
      <c r="S32" s="78">
        <f t="shared" si="15"/>
        <v>45.312766635721104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21.257841137745707</v>
      </c>
      <c r="E33" s="69">
        <f t="shared" si="3"/>
        <v>30.063127243772687</v>
      </c>
      <c r="F33" s="69">
        <f t="shared" si="4"/>
        <v>42.515682275491415</v>
      </c>
      <c r="G33" s="69">
        <f t="shared" si="5"/>
        <v>52.07086382062239</v>
      </c>
      <c r="H33" s="69">
        <f t="shared" si="6"/>
        <v>60.126254487545374</v>
      </c>
      <c r="I33" s="69">
        <f t="shared" si="7"/>
        <v>67.22319613330161</v>
      </c>
      <c r="J33" s="69">
        <f t="shared" si="8"/>
        <v>73.6393218196067</v>
      </c>
      <c r="K33" s="69">
        <f t="shared" si="9"/>
        <v>79.5395583199132</v>
      </c>
      <c r="L33" s="69">
        <f t="shared" si="10"/>
        <v>85.03136455098283</v>
      </c>
      <c r="M33" s="69">
        <f t="shared" si="11"/>
        <v>95.06795567778175</v>
      </c>
      <c r="N33" s="69">
        <f t="shared" si="12"/>
        <v>104.14172764124478</v>
      </c>
      <c r="O33" s="70">
        <f t="shared" si="13"/>
        <v>112.48592212118699</v>
      </c>
      <c r="P33" s="299"/>
      <c r="Q33" s="53"/>
      <c r="R33" s="54">
        <f t="shared" si="14"/>
        <v>0.00038946232079999993</v>
      </c>
      <c r="S33" s="106">
        <f t="shared" si="15"/>
        <v>42.515682275491415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413.25243171777646</v>
      </c>
      <c r="F35" s="920"/>
      <c r="G35" s="3" t="s">
        <v>33</v>
      </c>
      <c r="H35" s="183" t="s">
        <v>280</v>
      </c>
      <c r="I35" s="606">
        <f>R18</f>
        <v>0.9</v>
      </c>
      <c r="J35" s="3" t="s">
        <v>281</v>
      </c>
      <c r="K35" s="606">
        <f>R19</f>
        <v>0.6</v>
      </c>
      <c r="L35" s="3" t="s">
        <v>282</v>
      </c>
      <c r="M35" s="606">
        <f>R20</f>
        <v>0.35</v>
      </c>
      <c r="N35" s="3" t="s">
        <v>283</v>
      </c>
      <c r="O35" s="83" t="s">
        <v>284</v>
      </c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0.16558256289408307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4.006814E-05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4.3</v>
      </c>
      <c r="M40" s="5"/>
      <c r="N40" s="5"/>
      <c r="O40" s="83"/>
      <c r="P40" s="299"/>
      <c r="Q40" s="102">
        <f>(Q38/Q39)/10</f>
        <v>413.25243171777646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9" ht="19.5" customHeight="1">
      <c r="C46" s="878"/>
      <c r="D46" s="879"/>
      <c r="E46" s="879"/>
      <c r="F46" s="880"/>
      <c r="G46" s="861" t="str">
        <f>G2</f>
        <v>PROJETO  DE  DRENAGEM</v>
      </c>
      <c r="H46" s="862"/>
      <c r="I46" s="862"/>
      <c r="J46" s="862"/>
      <c r="K46" s="862"/>
      <c r="L46" s="862"/>
      <c r="M46" s="862"/>
      <c r="N46" s="862"/>
      <c r="O46" s="863"/>
      <c r="P46" s="327"/>
      <c r="R46" s="929"/>
      <c r="S46" s="929"/>
    </row>
    <row r="47" spans="3:16" ht="19.5" customHeight="1">
      <c r="C47" s="881"/>
      <c r="D47" s="882"/>
      <c r="E47" s="882"/>
      <c r="F47" s="883"/>
      <c r="G47" s="864" t="str">
        <f>G3</f>
        <v>Rodovia: MG-314</v>
      </c>
      <c r="H47" s="865"/>
      <c r="I47" s="865"/>
      <c r="J47" s="865"/>
      <c r="K47" s="865"/>
      <c r="L47" s="865"/>
      <c r="M47" s="865"/>
      <c r="N47" s="865"/>
      <c r="O47" s="866"/>
      <c r="P47" s="327"/>
    </row>
    <row r="48" spans="3:16" ht="19.5" customHeight="1">
      <c r="C48" s="881"/>
      <c r="D48" s="882"/>
      <c r="E48" s="882"/>
      <c r="F48" s="883"/>
      <c r="G48" s="864" t="str">
        <f>G4</f>
        <v>Trecho: Entrº MG-416 (Peçanha) - LMG-744 (Coroaci)</v>
      </c>
      <c r="H48" s="865"/>
      <c r="I48" s="865"/>
      <c r="J48" s="865"/>
      <c r="K48" s="865"/>
      <c r="L48" s="865"/>
      <c r="M48" s="865"/>
      <c r="N48" s="865"/>
      <c r="O48" s="866"/>
      <c r="P48" s="327"/>
    </row>
    <row r="49" spans="3:16" ht="19.5" customHeight="1">
      <c r="C49" s="884"/>
      <c r="D49" s="885"/>
      <c r="E49" s="885"/>
      <c r="F49" s="886"/>
      <c r="G49" s="924">
        <f>G5</f>
        <v>0</v>
      </c>
      <c r="H49" s="925"/>
      <c r="I49" s="925"/>
      <c r="J49" s="925"/>
      <c r="K49" s="925"/>
      <c r="L49" s="925"/>
      <c r="M49" s="925"/>
      <c r="N49" s="925"/>
      <c r="O49" s="926"/>
      <c r="P49" s="327"/>
    </row>
    <row r="50" spans="3:16" ht="12.75">
      <c r="C50" s="8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3"/>
      <c r="P50" s="327"/>
    </row>
    <row r="51" spans="2:16" s="75" customFormat="1" ht="21" customHeight="1">
      <c r="B51" s="74"/>
      <c r="C51" s="86"/>
      <c r="D51" s="828" t="str">
        <f>D7</f>
        <v>COMPRIMENTO  CRÍTICO DE SARJETA DE CORTE</v>
      </c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90"/>
      <c r="P51" s="328"/>
    </row>
    <row r="52" spans="2:16" s="75" customFormat="1" ht="12.75" customHeight="1">
      <c r="B52" s="74"/>
      <c r="C52" s="103"/>
      <c r="D52" s="825" t="s">
        <v>52</v>
      </c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90"/>
      <c r="P52" s="328"/>
    </row>
    <row r="53" spans="3:16" ht="18.75" customHeight="1">
      <c r="C53" s="8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3"/>
      <c r="P53" s="327"/>
    </row>
    <row r="54" spans="3:16" ht="12.75">
      <c r="C54" s="82"/>
      <c r="D54" s="823" t="str">
        <f>D10</f>
        <v>TIPO:  SCC - 50/10</v>
      </c>
      <c r="E54" s="823"/>
      <c r="F54" s="823"/>
      <c r="G54" s="823"/>
      <c r="H54" s="823"/>
      <c r="I54" s="823"/>
      <c r="J54" s="823"/>
      <c r="K54" s="823"/>
      <c r="L54" s="823"/>
      <c r="M54" s="823"/>
      <c r="N54" s="5"/>
      <c r="O54" s="83"/>
      <c r="P54" s="327"/>
    </row>
    <row r="55" spans="3:16" ht="12.75">
      <c r="C55" s="82"/>
      <c r="M55" s="5"/>
      <c r="N55" s="5"/>
      <c r="O55" s="83"/>
      <c r="P55" s="327"/>
    </row>
    <row r="56" spans="3:16" ht="12.75">
      <c r="C56" s="82"/>
      <c r="D56" s="921" t="s">
        <v>24</v>
      </c>
      <c r="E56" s="921"/>
      <c r="F56" s="921"/>
      <c r="G56" s="921"/>
      <c r="H56" s="921"/>
      <c r="I56" s="921"/>
      <c r="J56" s="921"/>
      <c r="K56" s="921"/>
      <c r="L56" s="921"/>
      <c r="M56" s="921"/>
      <c r="N56" s="5"/>
      <c r="O56" s="83"/>
      <c r="P56" s="327"/>
    </row>
    <row r="57" spans="3:16" ht="15" customHeight="1">
      <c r="C57" s="87"/>
      <c r="D57" s="13"/>
      <c r="E57" s="13"/>
      <c r="F57" s="13"/>
      <c r="G57" s="13"/>
      <c r="H57" s="13"/>
      <c r="I57" s="13"/>
      <c r="O57" s="83"/>
      <c r="P57" s="327"/>
    </row>
    <row r="58" spans="3:20" ht="15" customHeight="1">
      <c r="C58" s="87" t="s">
        <v>4</v>
      </c>
      <c r="D58" s="91">
        <f>D14</f>
        <v>0.02</v>
      </c>
      <c r="E58" s="5" t="s">
        <v>8</v>
      </c>
      <c r="F58" s="12"/>
      <c r="G58" s="12"/>
      <c r="H58" s="12"/>
      <c r="I58" s="12"/>
      <c r="J58" s="810" t="s">
        <v>51</v>
      </c>
      <c r="K58" s="810"/>
      <c r="L58" s="922" t="str">
        <f>L14</f>
        <v>Governador Valadares-MG</v>
      </c>
      <c r="M58" s="922"/>
      <c r="N58" s="922"/>
      <c r="O58" s="923"/>
      <c r="P58" s="327"/>
      <c r="S58" s="932" t="s">
        <v>37</v>
      </c>
      <c r="T58" s="932"/>
    </row>
    <row r="59" spans="3:16" ht="15" customHeight="1" thickBot="1">
      <c r="C59" s="87" t="s">
        <v>5</v>
      </c>
      <c r="D59" s="91">
        <f>D15</f>
        <v>0.457</v>
      </c>
      <c r="E59" s="5" t="s">
        <v>7</v>
      </c>
      <c r="F59" s="8"/>
      <c r="G59" s="8"/>
      <c r="H59" s="8"/>
      <c r="I59" s="8"/>
      <c r="J59" s="6" t="s">
        <v>18</v>
      </c>
      <c r="K59" s="215">
        <f>K15</f>
        <v>10</v>
      </c>
      <c r="L59" s="5" t="s">
        <v>12</v>
      </c>
      <c r="M59" s="5"/>
      <c r="N59" s="5"/>
      <c r="O59" s="83"/>
      <c r="P59" s="327"/>
    </row>
    <row r="60" spans="3:23" ht="15" customHeight="1">
      <c r="C60" s="87" t="s">
        <v>6</v>
      </c>
      <c r="D60" s="91">
        <f>D58/D59</f>
        <v>0.0437636761487965</v>
      </c>
      <c r="E60" s="8" t="s">
        <v>7</v>
      </c>
      <c r="F60" s="92">
        <f>POWER($D$16,2/3)</f>
        <v>0.1241869221705623</v>
      </c>
      <c r="G60" s="8"/>
      <c r="H60" s="8"/>
      <c r="I60" s="8"/>
      <c r="J60" s="6" t="s">
        <v>17</v>
      </c>
      <c r="K60" s="215">
        <f>K16</f>
        <v>10</v>
      </c>
      <c r="L60" s="5" t="s">
        <v>13</v>
      </c>
      <c r="M60" s="5"/>
      <c r="N60" s="5"/>
      <c r="O60" s="83"/>
      <c r="P60" s="327"/>
      <c r="Q60" s="39" t="s">
        <v>15</v>
      </c>
      <c r="R60" s="306" t="s">
        <v>2</v>
      </c>
      <c r="S60" s="306" t="s">
        <v>16</v>
      </c>
      <c r="T60" s="41"/>
      <c r="U60" s="42"/>
      <c r="V60" s="42"/>
      <c r="W60" s="43"/>
    </row>
    <row r="61" spans="3:23" ht="15" customHeight="1">
      <c r="C61" s="87" t="s">
        <v>9</v>
      </c>
      <c r="D61" s="91">
        <f>'[7]BASE'!$D$17</f>
        <v>0.015</v>
      </c>
      <c r="E61" s="5"/>
      <c r="F61" s="5"/>
      <c r="G61" s="5"/>
      <c r="H61" s="5"/>
      <c r="I61" s="5"/>
      <c r="J61" s="6" t="s">
        <v>19</v>
      </c>
      <c r="K61" s="307">
        <f>K17</f>
        <v>144.13</v>
      </c>
      <c r="L61" s="8" t="s">
        <v>14</v>
      </c>
      <c r="M61" s="5"/>
      <c r="N61" s="5"/>
      <c r="O61" s="83"/>
      <c r="P61" s="327"/>
      <c r="Q61" s="329">
        <f>R61/S61</f>
        <v>1</v>
      </c>
      <c r="R61" s="330">
        <f>R17</f>
        <v>1</v>
      </c>
      <c r="S61" s="330">
        <f>S17</f>
        <v>1</v>
      </c>
      <c r="T61" s="32"/>
      <c r="U61" s="4"/>
      <c r="V61" s="35"/>
      <c r="W61" s="50"/>
    </row>
    <row r="62" spans="2:23" ht="12.75">
      <c r="B62" s="60"/>
      <c r="C62" s="184" t="s">
        <v>97</v>
      </c>
      <c r="D62" s="186">
        <f aca="true" t="shared" si="18" ref="D62:O62">D63*$D$14</f>
        <v>0.008279128144704155</v>
      </c>
      <c r="E62" s="186">
        <f t="shared" si="18"/>
        <v>0.011708455306865415</v>
      </c>
      <c r="F62" s="186">
        <f t="shared" si="18"/>
        <v>0.01655825628940831</v>
      </c>
      <c r="G62" s="186">
        <f t="shared" si="18"/>
        <v>0.02027963946964035</v>
      </c>
      <c r="H62" s="186">
        <f t="shared" si="18"/>
        <v>0.02341691061373083</v>
      </c>
      <c r="I62" s="186">
        <f t="shared" si="18"/>
        <v>0.02618090197766923</v>
      </c>
      <c r="J62" s="186">
        <f t="shared" si="18"/>
        <v>0.028679741178002104</v>
      </c>
      <c r="K62" s="186">
        <f t="shared" si="18"/>
        <v>0.03097766097868034</v>
      </c>
      <c r="L62" s="186">
        <f t="shared" si="18"/>
        <v>0.03311651257881662</v>
      </c>
      <c r="M62" s="186">
        <f t="shared" si="18"/>
        <v>0.03702538665198041</v>
      </c>
      <c r="N62" s="186">
        <f t="shared" si="18"/>
        <v>0.0405592789392807</v>
      </c>
      <c r="O62" s="187">
        <f t="shared" si="18"/>
        <v>0.04380902828664554</v>
      </c>
      <c r="P62" s="331"/>
      <c r="Q62" s="46" t="s">
        <v>139</v>
      </c>
      <c r="R62" s="311">
        <f>R18</f>
        <v>0.9</v>
      </c>
      <c r="S62" s="31"/>
      <c r="T62" s="38" t="s">
        <v>29</v>
      </c>
      <c r="U62" s="311">
        <f>2*U18</f>
        <v>8.6</v>
      </c>
      <c r="V62" s="5"/>
      <c r="W62" s="45"/>
    </row>
    <row r="63" spans="2:23" ht="12.75">
      <c r="B63" s="15"/>
      <c r="C63" s="185" t="s">
        <v>16</v>
      </c>
      <c r="D63" s="188">
        <f aca="true" t="shared" si="19" ref="D63:O63">($F$16/$D$17)*POWER(D66/100,1/2)</f>
        <v>0.41395640723520777</v>
      </c>
      <c r="E63" s="188">
        <f t="shared" si="19"/>
        <v>0.5854227653432708</v>
      </c>
      <c r="F63" s="188">
        <f t="shared" si="19"/>
        <v>0.8279128144704155</v>
      </c>
      <c r="G63" s="188">
        <f t="shared" si="19"/>
        <v>1.0139819734820175</v>
      </c>
      <c r="H63" s="188">
        <f t="shared" si="19"/>
        <v>1.1708455306865415</v>
      </c>
      <c r="I63" s="188">
        <f t="shared" si="19"/>
        <v>1.3090450988834614</v>
      </c>
      <c r="J63" s="188">
        <f t="shared" si="19"/>
        <v>1.4339870589001051</v>
      </c>
      <c r="K63" s="188">
        <f t="shared" si="19"/>
        <v>1.5488830489340168</v>
      </c>
      <c r="L63" s="188">
        <f t="shared" si="19"/>
        <v>1.655825628940831</v>
      </c>
      <c r="M63" s="188">
        <f t="shared" si="19"/>
        <v>1.8512693325990204</v>
      </c>
      <c r="N63" s="188">
        <f t="shared" si="19"/>
        <v>2.027963946964035</v>
      </c>
      <c r="O63" s="189">
        <f t="shared" si="19"/>
        <v>2.190451414332277</v>
      </c>
      <c r="P63" s="332">
        <v>0.4</v>
      </c>
      <c r="Q63" s="46" t="s">
        <v>140</v>
      </c>
      <c r="R63" s="311">
        <f>R19</f>
        <v>0.6</v>
      </c>
      <c r="S63" s="31"/>
      <c r="T63" s="38" t="s">
        <v>43</v>
      </c>
      <c r="U63" s="333">
        <f>U19</f>
        <v>0</v>
      </c>
      <c r="V63" s="314"/>
      <c r="W63" s="315"/>
    </row>
    <row r="64" spans="2:23" ht="12.75">
      <c r="B64" s="22"/>
      <c r="C64" s="23" t="s">
        <v>0</v>
      </c>
      <c r="D64" s="830" t="s">
        <v>20</v>
      </c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2"/>
      <c r="P64" s="334"/>
      <c r="Q64" s="46" t="s">
        <v>141</v>
      </c>
      <c r="R64" s="311">
        <f>R20</f>
        <v>0.35</v>
      </c>
      <c r="S64" s="31"/>
      <c r="T64" s="38" t="s">
        <v>44</v>
      </c>
      <c r="U64" s="311">
        <f>U20</f>
        <v>3</v>
      </c>
      <c r="V64" s="5"/>
      <c r="W64" s="315"/>
    </row>
    <row r="65" spans="2:23" ht="12.75">
      <c r="B65" s="6"/>
      <c r="C65" s="24" t="s">
        <v>46</v>
      </c>
      <c r="D65" s="915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7"/>
      <c r="P65" s="327"/>
      <c r="Q65" s="317"/>
      <c r="R65" s="35"/>
      <c r="S65" s="35"/>
      <c r="T65" s="35"/>
      <c r="U65" s="35"/>
      <c r="V65" s="35"/>
      <c r="W65" s="318"/>
    </row>
    <row r="66" spans="2:23" ht="12.75">
      <c r="B66" s="7"/>
      <c r="C66" s="27" t="s">
        <v>47</v>
      </c>
      <c r="D66" s="918">
        <f aca="true" t="shared" si="20" ref="D66:O66">D22</f>
        <v>0.25</v>
      </c>
      <c r="E66" s="911">
        <f t="shared" si="20"/>
        <v>0.5</v>
      </c>
      <c r="F66" s="911">
        <f t="shared" si="20"/>
        <v>1</v>
      </c>
      <c r="G66" s="911">
        <f t="shared" si="20"/>
        <v>1.5</v>
      </c>
      <c r="H66" s="911">
        <f t="shared" si="20"/>
        <v>2</v>
      </c>
      <c r="I66" s="911">
        <f t="shared" si="20"/>
        <v>2.5</v>
      </c>
      <c r="J66" s="911">
        <f t="shared" si="20"/>
        <v>3</v>
      </c>
      <c r="K66" s="911">
        <f t="shared" si="20"/>
        <v>3.5</v>
      </c>
      <c r="L66" s="911">
        <f t="shared" si="20"/>
        <v>4</v>
      </c>
      <c r="M66" s="911">
        <f t="shared" si="20"/>
        <v>5</v>
      </c>
      <c r="N66" s="911">
        <f t="shared" si="20"/>
        <v>6</v>
      </c>
      <c r="O66" s="913">
        <f t="shared" si="20"/>
        <v>7</v>
      </c>
      <c r="P66" s="327"/>
      <c r="Q66" s="47" t="s">
        <v>22</v>
      </c>
      <c r="R66" s="28" t="s">
        <v>21</v>
      </c>
      <c r="S66" s="28" t="s">
        <v>23</v>
      </c>
      <c r="T66" s="320"/>
      <c r="U66" s="18"/>
      <c r="V66" s="18" t="s">
        <v>3</v>
      </c>
      <c r="W66" s="335" t="s">
        <v>35</v>
      </c>
    </row>
    <row r="67" spans="2:23" ht="12.75">
      <c r="B67" s="22"/>
      <c r="C67" s="25" t="s">
        <v>1</v>
      </c>
      <c r="D67" s="919"/>
      <c r="E67" s="912"/>
      <c r="F67" s="912"/>
      <c r="G67" s="912"/>
      <c r="H67" s="912"/>
      <c r="I67" s="912"/>
      <c r="J67" s="912"/>
      <c r="K67" s="912"/>
      <c r="L67" s="912"/>
      <c r="M67" s="912"/>
      <c r="N67" s="912"/>
      <c r="O67" s="914"/>
      <c r="P67" s="327"/>
      <c r="Q67" s="49">
        <f>($D$14*$F$16)/$D$17</f>
        <v>0.16558256289408307</v>
      </c>
      <c r="R67" s="30"/>
      <c r="S67" s="26"/>
      <c r="T67" s="36"/>
      <c r="U67" s="4"/>
      <c r="V67" s="291" t="s">
        <v>36</v>
      </c>
      <c r="W67" s="322"/>
    </row>
    <row r="68" spans="2:23" ht="18" customHeight="1">
      <c r="B68" s="22"/>
      <c r="C68" s="64">
        <f aca="true" t="shared" si="21" ref="C68:C77">C24</f>
        <v>1</v>
      </c>
      <c r="D68" s="71">
        <f aca="true" t="shared" si="22" ref="D68:D77">(($Q$23/R68)/10)*SQRT($D$22)</f>
        <v>22.004921816708013</v>
      </c>
      <c r="E68" s="65">
        <f aca="true" t="shared" si="23" ref="E68:E77">(($Q$23/R68)/10)*SQRT($E$22)</f>
        <v>31.11965887214808</v>
      </c>
      <c r="F68" s="65">
        <f aca="true" t="shared" si="24" ref="F68:F77">(($Q$23/R68)/10)*SQRT($F$22)</f>
        <v>44.009843633416025</v>
      </c>
      <c r="G68" s="65">
        <f aca="true" t="shared" si="25" ref="G68:G77">(($Q$23/R68)/10)*SQRT($G$22)</f>
        <v>53.90083028077205</v>
      </c>
      <c r="H68" s="65">
        <f aca="true" t="shared" si="26" ref="H68:H77">(($Q$23/R68)/10)*SQRT($H$22)</f>
        <v>62.23931774429616</v>
      </c>
      <c r="I68" s="65">
        <f aca="true" t="shared" si="27" ref="I68:I77">(($Q$23/R68)/10)*SQRT($I$22)</f>
        <v>69.58567267472755</v>
      </c>
      <c r="J68" s="65">
        <f aca="true" t="shared" si="28" ref="J68:J77">(($Q$23/R68)/10)*SQRT($J$22)</f>
        <v>76.22728520623824</v>
      </c>
      <c r="K68" s="65">
        <f aca="true" t="shared" si="29" ref="K68:K77">(($Q$23/R68)/10)*SQRT($K$22)</f>
        <v>82.33487826086859</v>
      </c>
      <c r="L68" s="65">
        <f aca="true" t="shared" si="30" ref="L68:L77">(($Q$23/R68)/10)*SQRT($L$22)</f>
        <v>88.01968726683205</v>
      </c>
      <c r="M68" s="65">
        <f aca="true" t="shared" si="31" ref="M68:M77">(($Q$23/R68)/10)*SQRT($M$22)</f>
        <v>98.40900204345458</v>
      </c>
      <c r="N68" s="65">
        <f aca="true" t="shared" si="32" ref="N68:N77">(($Q$23/R68)/10)*SQRT($N$22)</f>
        <v>107.8016605615441</v>
      </c>
      <c r="O68" s="66">
        <f aca="true" t="shared" si="33" ref="O68:O77">(($Q$23/R68)/10)*SQRT($O$22)</f>
        <v>116.43910149285809</v>
      </c>
      <c r="P68" s="327"/>
      <c r="Q68" s="51"/>
      <c r="R68" s="29">
        <f aca="true" t="shared" si="34" ref="R68:R77">((0.278*$K$17*POWER(10,-6)*(($R$18*$U$62)+($R$19*W68)+($R$20*$U$20))))</f>
        <v>0.0003762398346</v>
      </c>
      <c r="S68" s="33">
        <f aca="true" t="shared" si="35" ref="S68:S77">($Q$23/R68)/10</f>
        <v>44.009843633416025</v>
      </c>
      <c r="T68" s="3"/>
      <c r="U68" s="10"/>
      <c r="V68" s="52">
        <f aca="true" t="shared" si="36" ref="V68:V77">C68</f>
        <v>1</v>
      </c>
      <c r="W68" s="336">
        <f aca="true" t="shared" si="37" ref="W68:W77">$Q$17*V68</f>
        <v>1</v>
      </c>
    </row>
    <row r="69" spans="2:23" ht="18" customHeight="1">
      <c r="B69" s="15"/>
      <c r="C69" s="64">
        <f t="shared" si="21"/>
        <v>2</v>
      </c>
      <c r="D69" s="71">
        <f t="shared" si="22"/>
        <v>20.683304890779606</v>
      </c>
      <c r="E69" s="67">
        <f t="shared" si="23"/>
        <v>29.25061029123829</v>
      </c>
      <c r="F69" s="67">
        <f t="shared" si="24"/>
        <v>41.36660978155921</v>
      </c>
      <c r="G69" s="67">
        <f t="shared" si="25"/>
        <v>50.66354317682178</v>
      </c>
      <c r="H69" s="67">
        <f t="shared" si="26"/>
        <v>58.50122058247658</v>
      </c>
      <c r="I69" s="67">
        <f t="shared" si="27"/>
        <v>65.40635299456373</v>
      </c>
      <c r="J69" s="67">
        <f t="shared" si="28"/>
        <v>71.64906987853625</v>
      </c>
      <c r="K69" s="67">
        <f t="shared" si="29"/>
        <v>77.3898405274831</v>
      </c>
      <c r="L69" s="67">
        <f t="shared" si="30"/>
        <v>82.73321956311842</v>
      </c>
      <c r="M69" s="67">
        <f t="shared" si="31"/>
        <v>92.49855147027414</v>
      </c>
      <c r="N69" s="67">
        <f t="shared" si="32"/>
        <v>101.32708635364357</v>
      </c>
      <c r="O69" s="68">
        <f t="shared" si="33"/>
        <v>109.44576206385761</v>
      </c>
      <c r="P69" s="327"/>
      <c r="Q69" s="51"/>
      <c r="R69" s="30">
        <f t="shared" si="34"/>
        <v>0.0004002807185999999</v>
      </c>
      <c r="S69" s="26">
        <f t="shared" si="35"/>
        <v>41.36660978155921</v>
      </c>
      <c r="T69" s="3"/>
      <c r="U69" s="10"/>
      <c r="V69" s="52">
        <f t="shared" si="36"/>
        <v>2</v>
      </c>
      <c r="W69" s="336">
        <f t="shared" si="37"/>
        <v>2</v>
      </c>
    </row>
    <row r="70" spans="2:23" ht="18" customHeight="1">
      <c r="B70" s="14"/>
      <c r="C70" s="64">
        <f t="shared" si="21"/>
        <v>2.5</v>
      </c>
      <c r="D70" s="71">
        <f t="shared" si="22"/>
        <v>20.080293086383698</v>
      </c>
      <c r="E70" s="67">
        <f t="shared" si="23"/>
        <v>28.397822819190523</v>
      </c>
      <c r="F70" s="67">
        <f t="shared" si="24"/>
        <v>40.160586172767395</v>
      </c>
      <c r="G70" s="67">
        <f t="shared" si="25"/>
        <v>49.18647194717683</v>
      </c>
      <c r="H70" s="67">
        <f t="shared" si="26"/>
        <v>56.795645638381046</v>
      </c>
      <c r="I70" s="67">
        <f t="shared" si="27"/>
        <v>63.49946223670473</v>
      </c>
      <c r="J70" s="67">
        <f t="shared" si="28"/>
        <v>69.56017571298125</v>
      </c>
      <c r="K70" s="67">
        <f t="shared" si="29"/>
        <v>75.13357695525326</v>
      </c>
      <c r="L70" s="67">
        <f t="shared" si="30"/>
        <v>80.32117234553479</v>
      </c>
      <c r="M70" s="67">
        <f t="shared" si="31"/>
        <v>89.80180069854602</v>
      </c>
      <c r="N70" s="67">
        <f t="shared" si="32"/>
        <v>98.37294389435365</v>
      </c>
      <c r="O70" s="68">
        <f t="shared" si="33"/>
        <v>106.25492351972181</v>
      </c>
      <c r="P70" s="327"/>
      <c r="Q70" s="51"/>
      <c r="R70" s="30">
        <f t="shared" si="34"/>
        <v>0.00041230116059999994</v>
      </c>
      <c r="S70" s="26">
        <f t="shared" si="35"/>
        <v>40.160586172767395</v>
      </c>
      <c r="T70" s="3"/>
      <c r="U70" s="10"/>
      <c r="V70" s="52">
        <f t="shared" si="36"/>
        <v>2.5</v>
      </c>
      <c r="W70" s="336">
        <f t="shared" si="37"/>
        <v>2.5</v>
      </c>
    </row>
    <row r="71" spans="3:23" ht="18" customHeight="1">
      <c r="C71" s="64">
        <f t="shared" si="21"/>
        <v>3</v>
      </c>
      <c r="D71" s="71">
        <f t="shared" si="22"/>
        <v>19.5114462567411</v>
      </c>
      <c r="E71" s="67">
        <f t="shared" si="23"/>
        <v>27.593351917797023</v>
      </c>
      <c r="F71" s="67">
        <f t="shared" si="24"/>
        <v>39.0228925134822</v>
      </c>
      <c r="G71" s="67">
        <f t="shared" si="25"/>
        <v>47.79308747275255</v>
      </c>
      <c r="H71" s="67">
        <f t="shared" si="26"/>
        <v>55.186703835594045</v>
      </c>
      <c r="I71" s="67">
        <f t="shared" si="27"/>
        <v>61.70061061526833</v>
      </c>
      <c r="J71" s="67">
        <f t="shared" si="28"/>
        <v>67.58963249165033</v>
      </c>
      <c r="K71" s="67">
        <f t="shared" si="29"/>
        <v>73.0051470131781</v>
      </c>
      <c r="L71" s="67">
        <f t="shared" si="30"/>
        <v>78.0457850269644</v>
      </c>
      <c r="M71" s="67">
        <f t="shared" si="31"/>
        <v>87.25784033881382</v>
      </c>
      <c r="N71" s="67">
        <f t="shared" si="32"/>
        <v>95.5861749455051</v>
      </c>
      <c r="O71" s="68">
        <f t="shared" si="33"/>
        <v>103.24486902907813</v>
      </c>
      <c r="P71" s="327"/>
      <c r="Q71" s="51"/>
      <c r="R71" s="30">
        <f t="shared" si="34"/>
        <v>0.0004243216026</v>
      </c>
      <c r="S71" s="26">
        <f t="shared" si="35"/>
        <v>39.0228925134822</v>
      </c>
      <c r="T71" s="3"/>
      <c r="U71" s="10"/>
      <c r="V71" s="52">
        <f t="shared" si="36"/>
        <v>3</v>
      </c>
      <c r="W71" s="336">
        <f t="shared" si="37"/>
        <v>3</v>
      </c>
    </row>
    <row r="72" spans="2:23" ht="18" customHeight="1">
      <c r="B72" s="14"/>
      <c r="C72" s="64">
        <f t="shared" si="21"/>
        <v>3.5</v>
      </c>
      <c r="D72" s="71">
        <f t="shared" si="22"/>
        <v>18.973940850219304</v>
      </c>
      <c r="E72" s="67">
        <f t="shared" si="23"/>
        <v>26.833204482045034</v>
      </c>
      <c r="F72" s="67">
        <f t="shared" si="24"/>
        <v>37.94788170043861</v>
      </c>
      <c r="G72" s="67">
        <f t="shared" si="25"/>
        <v>46.476473492786916</v>
      </c>
      <c r="H72" s="67">
        <f t="shared" si="26"/>
        <v>53.66640896409007</v>
      </c>
      <c r="I72" s="67">
        <f t="shared" si="27"/>
        <v>60.000869276004735</v>
      </c>
      <c r="J72" s="67">
        <f t="shared" si="28"/>
        <v>65.7276591447729</v>
      </c>
      <c r="K72" s="67">
        <f t="shared" si="29"/>
        <v>70.99398593843489</v>
      </c>
      <c r="L72" s="67">
        <f t="shared" si="30"/>
        <v>75.89576340087721</v>
      </c>
      <c r="M72" s="67">
        <f t="shared" si="31"/>
        <v>84.85404308430104</v>
      </c>
      <c r="N72" s="67">
        <f t="shared" si="32"/>
        <v>92.95294698557383</v>
      </c>
      <c r="O72" s="68">
        <f t="shared" si="33"/>
        <v>100.40065776105943</v>
      </c>
      <c r="P72" s="327"/>
      <c r="Q72" s="51"/>
      <c r="R72" s="30">
        <f t="shared" si="34"/>
        <v>0.0004363420446</v>
      </c>
      <c r="S72" s="26">
        <f t="shared" si="35"/>
        <v>37.94788170043861</v>
      </c>
      <c r="T72" s="3"/>
      <c r="U72" s="10"/>
      <c r="V72" s="52">
        <f t="shared" si="36"/>
        <v>3.5</v>
      </c>
      <c r="W72" s="336">
        <f t="shared" si="37"/>
        <v>3.5</v>
      </c>
    </row>
    <row r="73" spans="3:23" ht="18" customHeight="1">
      <c r="C73" s="64">
        <f t="shared" si="21"/>
        <v>4</v>
      </c>
      <c r="D73" s="71">
        <f t="shared" si="22"/>
        <v>18.46525610892656</v>
      </c>
      <c r="E73" s="67">
        <f t="shared" si="23"/>
        <v>26.11381562193659</v>
      </c>
      <c r="F73" s="67">
        <f t="shared" si="24"/>
        <v>36.93051221785312</v>
      </c>
      <c r="G73" s="67">
        <f t="shared" si="25"/>
        <v>45.230455436680025</v>
      </c>
      <c r="H73" s="67">
        <f t="shared" si="26"/>
        <v>52.22763124387318</v>
      </c>
      <c r="I73" s="67">
        <f t="shared" si="27"/>
        <v>58.39226688254616</v>
      </c>
      <c r="J73" s="67">
        <f t="shared" si="28"/>
        <v>63.965523510864784</v>
      </c>
      <c r="K73" s="67">
        <f t="shared" si="29"/>
        <v>69.09066191863771</v>
      </c>
      <c r="L73" s="67">
        <f t="shared" si="30"/>
        <v>73.86102443570624</v>
      </c>
      <c r="M73" s="67">
        <f t="shared" si="31"/>
        <v>82.57913576300611</v>
      </c>
      <c r="N73" s="67">
        <f t="shared" si="32"/>
        <v>90.46091087336005</v>
      </c>
      <c r="O73" s="68">
        <f t="shared" si="33"/>
        <v>97.70895111867178</v>
      </c>
      <c r="P73" s="327"/>
      <c r="Q73" s="51"/>
      <c r="R73" s="30">
        <f t="shared" si="34"/>
        <v>0.00044836248660000004</v>
      </c>
      <c r="S73" s="26">
        <f t="shared" si="35"/>
        <v>36.93051221785312</v>
      </c>
      <c r="T73" s="3"/>
      <c r="U73" s="10"/>
      <c r="V73" s="52">
        <f t="shared" si="36"/>
        <v>4</v>
      </c>
      <c r="W73" s="336">
        <f t="shared" si="37"/>
        <v>4</v>
      </c>
    </row>
    <row r="74" spans="3:23" ht="18" customHeight="1">
      <c r="C74" s="64">
        <f t="shared" si="21"/>
        <v>5</v>
      </c>
      <c r="D74" s="71">
        <f t="shared" si="22"/>
        <v>17.525548418904854</v>
      </c>
      <c r="E74" s="67">
        <f t="shared" si="23"/>
        <v>24.7848682620416</v>
      </c>
      <c r="F74" s="67">
        <f t="shared" si="24"/>
        <v>35.05109683780971</v>
      </c>
      <c r="G74" s="67">
        <f t="shared" si="25"/>
        <v>42.928651088757384</v>
      </c>
      <c r="H74" s="67">
        <f t="shared" si="26"/>
        <v>49.5697365240832</v>
      </c>
      <c r="I74" s="67">
        <f t="shared" si="27"/>
        <v>55.420650247302085</v>
      </c>
      <c r="J74" s="67">
        <f t="shared" si="28"/>
        <v>60.710280584103224</v>
      </c>
      <c r="K74" s="67">
        <f t="shared" si="29"/>
        <v>65.57459769885972</v>
      </c>
      <c r="L74" s="67">
        <f t="shared" si="30"/>
        <v>70.10219367561942</v>
      </c>
      <c r="M74" s="67">
        <f t="shared" si="31"/>
        <v>78.37663521527044</v>
      </c>
      <c r="N74" s="67">
        <f t="shared" si="32"/>
        <v>85.85730217751477</v>
      </c>
      <c r="O74" s="68">
        <f t="shared" si="33"/>
        <v>92.73648541288696</v>
      </c>
      <c r="P74" s="327"/>
      <c r="Q74" s="51"/>
      <c r="R74" s="30">
        <f t="shared" si="34"/>
        <v>0.00047240337059999994</v>
      </c>
      <c r="S74" s="26">
        <f t="shared" si="35"/>
        <v>35.05109683780971</v>
      </c>
      <c r="T74" s="3"/>
      <c r="U74" s="10"/>
      <c r="V74" s="52">
        <f t="shared" si="36"/>
        <v>5</v>
      </c>
      <c r="W74" s="336">
        <f t="shared" si="37"/>
        <v>5</v>
      </c>
    </row>
    <row r="75" spans="3:23" ht="18" customHeight="1">
      <c r="C75" s="64">
        <f t="shared" si="21"/>
        <v>6</v>
      </c>
      <c r="D75" s="71">
        <f t="shared" si="22"/>
        <v>16.676853580216967</v>
      </c>
      <c r="E75" s="67">
        <f t="shared" si="23"/>
        <v>23.584632510853144</v>
      </c>
      <c r="F75" s="67">
        <f t="shared" si="24"/>
        <v>33.353707160433935</v>
      </c>
      <c r="G75" s="67">
        <f t="shared" si="25"/>
        <v>40.84978178663838</v>
      </c>
      <c r="H75" s="67">
        <f t="shared" si="26"/>
        <v>47.16926502170629</v>
      </c>
      <c r="I75" s="67">
        <f t="shared" si="27"/>
        <v>52.73684151861917</v>
      </c>
      <c r="J75" s="67">
        <f t="shared" si="28"/>
        <v>57.77031542264544</v>
      </c>
      <c r="K75" s="67">
        <f t="shared" si="29"/>
        <v>62.39907238656627</v>
      </c>
      <c r="L75" s="67">
        <f t="shared" si="30"/>
        <v>66.70741432086787</v>
      </c>
      <c r="M75" s="67">
        <f t="shared" si="31"/>
        <v>74.58115651235177</v>
      </c>
      <c r="N75" s="67">
        <f t="shared" si="32"/>
        <v>81.69956357327676</v>
      </c>
      <c r="O75" s="68">
        <f t="shared" si="33"/>
        <v>88.24561444858251</v>
      </c>
      <c r="P75" s="327"/>
      <c r="Q75" s="51"/>
      <c r="R75" s="30">
        <f t="shared" si="34"/>
        <v>0.0004964442546</v>
      </c>
      <c r="S75" s="26">
        <f t="shared" si="35"/>
        <v>33.353707160433935</v>
      </c>
      <c r="T75" s="3"/>
      <c r="U75" s="10"/>
      <c r="V75" s="52">
        <f t="shared" si="36"/>
        <v>6</v>
      </c>
      <c r="W75" s="336">
        <f t="shared" si="37"/>
        <v>6</v>
      </c>
    </row>
    <row r="76" spans="2:23" ht="18" customHeight="1">
      <c r="B76" s="20"/>
      <c r="C76" s="64">
        <f t="shared" si="21"/>
        <v>7</v>
      </c>
      <c r="D76" s="71">
        <f t="shared" si="22"/>
        <v>15.90656011230856</v>
      </c>
      <c r="E76" s="67">
        <f t="shared" si="23"/>
        <v>22.495273041529668</v>
      </c>
      <c r="F76" s="67">
        <f t="shared" si="24"/>
        <v>31.81312022461712</v>
      </c>
      <c r="G76" s="67">
        <f t="shared" si="25"/>
        <v>38.96295583806385</v>
      </c>
      <c r="H76" s="67">
        <f t="shared" si="26"/>
        <v>44.990546083059336</v>
      </c>
      <c r="I76" s="67">
        <f t="shared" si="27"/>
        <v>50.30095969327879</v>
      </c>
      <c r="J76" s="67">
        <f t="shared" si="28"/>
        <v>55.10194057633386</v>
      </c>
      <c r="K76" s="67">
        <f t="shared" si="29"/>
        <v>59.516898142383056</v>
      </c>
      <c r="L76" s="67">
        <f t="shared" si="30"/>
        <v>63.62624044923424</v>
      </c>
      <c r="M76" s="67">
        <f t="shared" si="31"/>
        <v>71.13629939861725</v>
      </c>
      <c r="N76" s="67">
        <f t="shared" si="32"/>
        <v>77.9259116761277</v>
      </c>
      <c r="O76" s="68">
        <f t="shared" si="33"/>
        <v>84.16960454333619</v>
      </c>
      <c r="P76" s="327"/>
      <c r="Q76" s="51"/>
      <c r="R76" s="30">
        <f t="shared" si="34"/>
        <v>0.0005204851386000001</v>
      </c>
      <c r="S76" s="26">
        <f t="shared" si="35"/>
        <v>31.81312022461712</v>
      </c>
      <c r="T76" s="3"/>
      <c r="U76" s="10"/>
      <c r="V76" s="52">
        <f t="shared" si="36"/>
        <v>7</v>
      </c>
      <c r="W76" s="336">
        <f t="shared" si="37"/>
        <v>7</v>
      </c>
    </row>
    <row r="77" spans="3:23" ht="18" customHeight="1" thickBot="1">
      <c r="C77" s="64">
        <f t="shared" si="21"/>
        <v>8</v>
      </c>
      <c r="D77" s="71">
        <f t="shared" si="22"/>
        <v>15.204283727659178</v>
      </c>
      <c r="E77" s="69">
        <f t="shared" si="23"/>
        <v>21.502104253824168</v>
      </c>
      <c r="F77" s="69">
        <f t="shared" si="24"/>
        <v>30.408567455318355</v>
      </c>
      <c r="G77" s="69">
        <f t="shared" si="25"/>
        <v>37.24273703726634</v>
      </c>
      <c r="H77" s="69">
        <f t="shared" si="26"/>
        <v>43.004208507648336</v>
      </c>
      <c r="I77" s="69">
        <f t="shared" si="27"/>
        <v>48.08016677083823</v>
      </c>
      <c r="J77" s="69">
        <f t="shared" si="28"/>
        <v>52.66918381799683</v>
      </c>
      <c r="K77" s="69">
        <f t="shared" si="29"/>
        <v>56.8892205202028</v>
      </c>
      <c r="L77" s="69">
        <f t="shared" si="30"/>
        <v>60.81713491063671</v>
      </c>
      <c r="M77" s="69">
        <f t="shared" si="31"/>
        <v>67.99562392847965</v>
      </c>
      <c r="N77" s="69">
        <f t="shared" si="32"/>
        <v>74.48547407453268</v>
      </c>
      <c r="O77" s="70">
        <f t="shared" si="33"/>
        <v>80.45350721250459</v>
      </c>
      <c r="P77" s="327"/>
      <c r="Q77" s="53"/>
      <c r="R77" s="54">
        <f t="shared" si="34"/>
        <v>0.0005445260226</v>
      </c>
      <c r="S77" s="55">
        <f t="shared" si="35"/>
        <v>30.408567455318355</v>
      </c>
      <c r="T77" s="56"/>
      <c r="U77" s="57"/>
      <c r="V77" s="58">
        <f t="shared" si="36"/>
        <v>8</v>
      </c>
      <c r="W77" s="337">
        <f t="shared" si="37"/>
        <v>8</v>
      </c>
    </row>
    <row r="78" spans="2:16" ht="18" customHeight="1">
      <c r="B78" s="21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  <c r="P78" s="327"/>
    </row>
    <row r="79" spans="3:16" ht="18" customHeight="1">
      <c r="C79" s="82"/>
      <c r="D79" s="6" t="s">
        <v>31</v>
      </c>
      <c r="E79" s="920">
        <f>Q84</f>
        <v>413.25243171777646</v>
      </c>
      <c r="F79" s="920"/>
      <c r="G79" s="3" t="s">
        <v>33</v>
      </c>
      <c r="H79" s="183" t="s">
        <v>280</v>
      </c>
      <c r="I79" s="606">
        <f>R62</f>
        <v>0.9</v>
      </c>
      <c r="J79" s="3" t="s">
        <v>281</v>
      </c>
      <c r="K79" s="606">
        <f>R63</f>
        <v>0.6</v>
      </c>
      <c r="L79" s="3" t="s">
        <v>282</v>
      </c>
      <c r="M79" s="606">
        <f>R64</f>
        <v>0.35</v>
      </c>
      <c r="N79" s="3" t="s">
        <v>283</v>
      </c>
      <c r="O79" s="83" t="s">
        <v>284</v>
      </c>
      <c r="P79" s="327"/>
    </row>
    <row r="80" spans="3:21" ht="15" customHeight="1">
      <c r="C80" s="8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3"/>
      <c r="P80" s="327"/>
      <c r="T80" s="1"/>
      <c r="U80" s="1"/>
    </row>
    <row r="81" spans="3:21" ht="15" customHeight="1">
      <c r="C81" s="8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3"/>
      <c r="P81" s="327"/>
      <c r="S81" s="338"/>
      <c r="T81" s="338"/>
      <c r="U81" s="1"/>
    </row>
    <row r="82" spans="3:21" ht="15" customHeight="1">
      <c r="C82" s="82"/>
      <c r="D82" s="6" t="s">
        <v>31</v>
      </c>
      <c r="E82" s="5" t="s">
        <v>25</v>
      </c>
      <c r="F82" s="5"/>
      <c r="G82" s="5"/>
      <c r="H82" s="5"/>
      <c r="I82" s="5"/>
      <c r="J82" s="5"/>
      <c r="K82" s="5"/>
      <c r="L82" s="5"/>
      <c r="M82" s="5"/>
      <c r="N82" s="5"/>
      <c r="O82" s="83"/>
      <c r="P82" s="327"/>
      <c r="Q82" s="97">
        <f>Q67</f>
        <v>0.16558256289408307</v>
      </c>
      <c r="T82" s="1"/>
      <c r="U82" s="1"/>
    </row>
    <row r="83" spans="3:21" ht="15" customHeight="1">
      <c r="C83" s="82"/>
      <c r="D83" s="6" t="s">
        <v>32</v>
      </c>
      <c r="E83" s="5" t="s">
        <v>26</v>
      </c>
      <c r="F83" s="5"/>
      <c r="G83" s="5"/>
      <c r="H83" s="5"/>
      <c r="I83" s="5"/>
      <c r="J83" s="5"/>
      <c r="K83" s="5"/>
      <c r="L83" s="5"/>
      <c r="M83" s="5"/>
      <c r="N83" s="5"/>
      <c r="O83" s="83"/>
      <c r="P83" s="327"/>
      <c r="Q83" s="98">
        <f>((0.278*$K$61*POWER(10,-6)))</f>
        <v>4.006814E-05</v>
      </c>
      <c r="T83" s="1"/>
      <c r="U83" s="1"/>
    </row>
    <row r="84" spans="3:21" ht="15" customHeight="1">
      <c r="C84" s="82"/>
      <c r="D84" s="6" t="s">
        <v>29</v>
      </c>
      <c r="E84" s="5" t="s">
        <v>27</v>
      </c>
      <c r="F84" s="5"/>
      <c r="G84" s="5"/>
      <c r="H84" s="5"/>
      <c r="I84" s="5"/>
      <c r="J84" s="5"/>
      <c r="K84" s="5"/>
      <c r="L84" s="119">
        <f>U62</f>
        <v>8.6</v>
      </c>
      <c r="M84" s="5"/>
      <c r="N84" s="5"/>
      <c r="O84" s="83"/>
      <c r="P84" s="327"/>
      <c r="Q84" s="102">
        <f>(Q82/Q83)/10</f>
        <v>413.25243171777646</v>
      </c>
      <c r="T84" s="1"/>
      <c r="U84" s="1"/>
    </row>
    <row r="85" spans="3:21" ht="15" customHeight="1">
      <c r="C85" s="82"/>
      <c r="D85" s="6" t="s">
        <v>43</v>
      </c>
      <c r="E85" s="5" t="s">
        <v>28</v>
      </c>
      <c r="F85" s="5"/>
      <c r="G85" s="5"/>
      <c r="H85" s="5"/>
      <c r="I85" s="5"/>
      <c r="J85" s="5"/>
      <c r="K85" s="5"/>
      <c r="L85" s="9" t="s">
        <v>34</v>
      </c>
      <c r="M85" s="5"/>
      <c r="N85" s="5"/>
      <c r="O85" s="83"/>
      <c r="P85" s="327"/>
      <c r="Q85" s="99"/>
      <c r="T85" s="1"/>
      <c r="U85" s="1"/>
    </row>
    <row r="86" spans="3:21" ht="15" customHeight="1">
      <c r="C86" s="82"/>
      <c r="D86" s="6" t="s">
        <v>44</v>
      </c>
      <c r="E86" s="5" t="s">
        <v>30</v>
      </c>
      <c r="F86" s="5"/>
      <c r="G86" s="5"/>
      <c r="H86" s="5"/>
      <c r="I86" s="5"/>
      <c r="J86" s="5"/>
      <c r="K86" s="5"/>
      <c r="L86" s="119">
        <f>U64</f>
        <v>3</v>
      </c>
      <c r="M86" s="5"/>
      <c r="N86" s="5"/>
      <c r="O86" s="83"/>
      <c r="P86" s="327"/>
      <c r="Q86" s="100"/>
      <c r="T86" s="1"/>
      <c r="U86" s="1"/>
    </row>
    <row r="87" spans="3:21" ht="12.75" customHeight="1">
      <c r="C87" s="82"/>
      <c r="M87" s="5"/>
      <c r="N87" s="5"/>
      <c r="O87" s="83"/>
      <c r="P87" s="327"/>
      <c r="R87" s="101"/>
      <c r="T87" s="1"/>
      <c r="U87" s="1"/>
    </row>
    <row r="88" spans="3:21" ht="30" customHeight="1">
      <c r="C88" s="8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85"/>
      <c r="P88" s="327"/>
      <c r="T88" s="1"/>
      <c r="U88" s="1"/>
    </row>
    <row r="89" spans="3:15" ht="6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3:16" ht="19.5" customHeight="1">
      <c r="C90" s="878"/>
      <c r="D90" s="879"/>
      <c r="E90" s="879"/>
      <c r="F90" s="880"/>
      <c r="G90" s="861" t="str">
        <f>G2</f>
        <v>PROJETO  DE  DRENAGEM</v>
      </c>
      <c r="H90" s="862"/>
      <c r="I90" s="862"/>
      <c r="J90" s="862"/>
      <c r="K90" s="862"/>
      <c r="L90" s="862"/>
      <c r="M90" s="862"/>
      <c r="N90" s="862"/>
      <c r="O90" s="863"/>
      <c r="P90" s="339"/>
    </row>
    <row r="91" spans="3:16" ht="19.5" customHeight="1">
      <c r="C91" s="881"/>
      <c r="D91" s="882"/>
      <c r="E91" s="882"/>
      <c r="F91" s="883"/>
      <c r="G91" s="864" t="str">
        <f>G3</f>
        <v>Rodovia: MG-314</v>
      </c>
      <c r="H91" s="865"/>
      <c r="I91" s="865"/>
      <c r="J91" s="865"/>
      <c r="K91" s="865"/>
      <c r="L91" s="865"/>
      <c r="M91" s="865"/>
      <c r="N91" s="865"/>
      <c r="O91" s="866"/>
      <c r="P91" s="339"/>
    </row>
    <row r="92" spans="3:16" ht="19.5" customHeight="1">
      <c r="C92" s="881"/>
      <c r="D92" s="882"/>
      <c r="E92" s="882"/>
      <c r="F92" s="883"/>
      <c r="G92" s="864" t="str">
        <f>G4</f>
        <v>Trecho: Entrº MG-416 (Peçanha) - LMG-744 (Coroaci)</v>
      </c>
      <c r="H92" s="865"/>
      <c r="I92" s="865"/>
      <c r="J92" s="865"/>
      <c r="K92" s="865"/>
      <c r="L92" s="865"/>
      <c r="M92" s="865"/>
      <c r="N92" s="865"/>
      <c r="O92" s="866"/>
      <c r="P92" s="339"/>
    </row>
    <row r="93" spans="3:16" ht="19.5" customHeight="1">
      <c r="C93" s="884"/>
      <c r="D93" s="885"/>
      <c r="E93" s="885"/>
      <c r="F93" s="886"/>
      <c r="G93" s="924">
        <f>G5</f>
        <v>0</v>
      </c>
      <c r="H93" s="925"/>
      <c r="I93" s="925"/>
      <c r="J93" s="925"/>
      <c r="K93" s="925"/>
      <c r="L93" s="925"/>
      <c r="M93" s="925"/>
      <c r="N93" s="925"/>
      <c r="O93" s="926"/>
      <c r="P93" s="339"/>
    </row>
    <row r="94" spans="3:16" ht="12.75">
      <c r="C94" s="8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3"/>
      <c r="P94" s="339"/>
    </row>
    <row r="95" spans="2:16" s="75" customFormat="1" ht="21" customHeight="1">
      <c r="B95" s="74"/>
      <c r="C95" s="86"/>
      <c r="D95" s="828" t="str">
        <f>D51</f>
        <v>COMPRIMENTO  CRÍTICO DE SARJETA DE CORTE</v>
      </c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90"/>
      <c r="P95" s="340"/>
    </row>
    <row r="96" spans="2:16" s="75" customFormat="1" ht="12.75" customHeight="1">
      <c r="B96" s="74"/>
      <c r="C96" s="103"/>
      <c r="D96" s="825" t="s">
        <v>53</v>
      </c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90"/>
      <c r="P96" s="340"/>
    </row>
    <row r="97" spans="3:16" ht="18.75" customHeight="1">
      <c r="C97" s="8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3"/>
      <c r="P97" s="339"/>
    </row>
    <row r="98" spans="3:16" ht="12.75">
      <c r="C98" s="82"/>
      <c r="D98" s="823" t="str">
        <f>D54</f>
        <v>TIPO:  SCC - 50/10</v>
      </c>
      <c r="E98" s="823"/>
      <c r="F98" s="823"/>
      <c r="G98" s="823"/>
      <c r="H98" s="823"/>
      <c r="I98" s="823"/>
      <c r="J98" s="823"/>
      <c r="K98" s="823"/>
      <c r="L98" s="823"/>
      <c r="M98" s="823"/>
      <c r="N98" s="5"/>
      <c r="O98" s="83"/>
      <c r="P98" s="339"/>
    </row>
    <row r="99" spans="3:16" ht="12.75">
      <c r="C99" s="82"/>
      <c r="M99" s="5"/>
      <c r="N99" s="5"/>
      <c r="O99" s="83"/>
      <c r="P99" s="339"/>
    </row>
    <row r="100" spans="3:16" ht="12.75">
      <c r="C100" s="82"/>
      <c r="D100" s="921" t="s">
        <v>24</v>
      </c>
      <c r="E100" s="921"/>
      <c r="F100" s="921"/>
      <c r="G100" s="921"/>
      <c r="H100" s="921"/>
      <c r="I100" s="921"/>
      <c r="J100" s="921"/>
      <c r="K100" s="921"/>
      <c r="L100" s="921"/>
      <c r="M100" s="921"/>
      <c r="N100" s="5"/>
      <c r="O100" s="83"/>
      <c r="P100" s="339"/>
    </row>
    <row r="101" spans="3:16" ht="15" customHeight="1">
      <c r="C101" s="87"/>
      <c r="D101" s="13"/>
      <c r="E101" s="13"/>
      <c r="F101" s="13"/>
      <c r="G101" s="13"/>
      <c r="H101" s="13"/>
      <c r="I101" s="13"/>
      <c r="O101" s="83"/>
      <c r="P101" s="339"/>
    </row>
    <row r="102" spans="3:20" ht="15" customHeight="1">
      <c r="C102" s="87" t="s">
        <v>4</v>
      </c>
      <c r="D102" s="91">
        <f>D58</f>
        <v>0.02</v>
      </c>
      <c r="E102" s="5" t="s">
        <v>8</v>
      </c>
      <c r="F102" s="12"/>
      <c r="G102" s="12"/>
      <c r="H102" s="12"/>
      <c r="I102" s="12"/>
      <c r="J102" s="810" t="s">
        <v>51</v>
      </c>
      <c r="K102" s="810"/>
      <c r="L102" s="922" t="str">
        <f>L14</f>
        <v>Governador Valadares-MG</v>
      </c>
      <c r="M102" s="922"/>
      <c r="N102" s="922"/>
      <c r="O102" s="923"/>
      <c r="P102" s="339"/>
      <c r="S102" s="338"/>
      <c r="T102" s="338"/>
    </row>
    <row r="103" spans="3:16" ht="15" customHeight="1" thickBot="1">
      <c r="C103" s="87" t="s">
        <v>5</v>
      </c>
      <c r="D103" s="91">
        <f>D59</f>
        <v>0.457</v>
      </c>
      <c r="E103" s="5" t="s">
        <v>7</v>
      </c>
      <c r="F103" s="8"/>
      <c r="G103" s="8"/>
      <c r="H103" s="8"/>
      <c r="I103" s="8"/>
      <c r="J103" s="6" t="s">
        <v>18</v>
      </c>
      <c r="K103" s="215">
        <f>K15</f>
        <v>10</v>
      </c>
      <c r="L103" s="5" t="s">
        <v>12</v>
      </c>
      <c r="M103" s="5"/>
      <c r="N103" s="5"/>
      <c r="O103" s="83"/>
      <c r="P103" s="339"/>
    </row>
    <row r="104" spans="3:23" ht="15" customHeight="1">
      <c r="C104" s="87" t="s">
        <v>6</v>
      </c>
      <c r="D104" s="91">
        <f>D102/D103</f>
        <v>0.0437636761487965</v>
      </c>
      <c r="E104" s="8" t="s">
        <v>7</v>
      </c>
      <c r="F104" s="92">
        <f>POWER($D$16,2/3)</f>
        <v>0.1241869221705623</v>
      </c>
      <c r="G104" s="8"/>
      <c r="H104" s="8"/>
      <c r="I104" s="8"/>
      <c r="J104" s="6" t="s">
        <v>17</v>
      </c>
      <c r="K104" s="215">
        <f>K16</f>
        <v>10</v>
      </c>
      <c r="L104" s="5" t="s">
        <v>13</v>
      </c>
      <c r="M104" s="5"/>
      <c r="N104" s="5"/>
      <c r="O104" s="83"/>
      <c r="P104" s="339"/>
      <c r="Q104" s="39" t="s">
        <v>15</v>
      </c>
      <c r="R104" s="306" t="s">
        <v>2</v>
      </c>
      <c r="S104" s="306" t="s">
        <v>16</v>
      </c>
      <c r="T104" s="41"/>
      <c r="U104" s="42"/>
      <c r="V104" s="42"/>
      <c r="W104" s="43"/>
    </row>
    <row r="105" spans="3:23" ht="15" customHeight="1">
      <c r="C105" s="87" t="s">
        <v>9</v>
      </c>
      <c r="D105" s="91">
        <f>'[7]BASE'!$D$17</f>
        <v>0.015</v>
      </c>
      <c r="E105" s="5"/>
      <c r="F105" s="5"/>
      <c r="G105" s="5"/>
      <c r="H105" s="5"/>
      <c r="I105" s="5"/>
      <c r="J105" s="6" t="s">
        <v>19</v>
      </c>
      <c r="K105" s="307">
        <f>K17</f>
        <v>144.13</v>
      </c>
      <c r="L105" s="8" t="s">
        <v>14</v>
      </c>
      <c r="M105" s="5"/>
      <c r="N105" s="5"/>
      <c r="O105" s="83"/>
      <c r="P105" s="339"/>
      <c r="Q105" s="329">
        <f>R105/S105</f>
        <v>1</v>
      </c>
      <c r="R105" s="330">
        <f>R61</f>
        <v>1</v>
      </c>
      <c r="S105" s="330">
        <f>S61</f>
        <v>1</v>
      </c>
      <c r="T105" s="32"/>
      <c r="U105" s="4"/>
      <c r="V105" s="35"/>
      <c r="W105" s="50"/>
    </row>
    <row r="106" spans="2:23" ht="12.75">
      <c r="B106" s="60"/>
      <c r="C106" s="88"/>
      <c r="D106" s="34"/>
      <c r="E106" s="34"/>
      <c r="F106" s="5"/>
      <c r="G106" s="5"/>
      <c r="H106" s="5"/>
      <c r="I106" s="5"/>
      <c r="J106" s="13"/>
      <c r="K106" s="13"/>
      <c r="L106" s="13"/>
      <c r="M106" s="13"/>
      <c r="N106" s="13"/>
      <c r="O106" s="93"/>
      <c r="P106" s="341"/>
      <c r="Q106" s="46" t="s">
        <v>139</v>
      </c>
      <c r="R106" s="311">
        <f>R62</f>
        <v>0.9</v>
      </c>
      <c r="S106" s="31"/>
      <c r="T106" s="38" t="s">
        <v>29</v>
      </c>
      <c r="U106" s="311">
        <v>0</v>
      </c>
      <c r="V106" s="5"/>
      <c r="W106" s="45"/>
    </row>
    <row r="107" spans="2:23" ht="12.75">
      <c r="B107" s="15"/>
      <c r="C107" s="89"/>
      <c r="D107" s="11"/>
      <c r="E107" s="94"/>
      <c r="F107" s="5"/>
      <c r="G107" s="5"/>
      <c r="H107" s="5"/>
      <c r="I107" s="17"/>
      <c r="J107" s="16"/>
      <c r="K107" s="17"/>
      <c r="L107" s="16"/>
      <c r="M107" s="17"/>
      <c r="N107" s="10"/>
      <c r="O107" s="95"/>
      <c r="P107" s="342">
        <v>0.4</v>
      </c>
      <c r="Q107" s="46" t="s">
        <v>140</v>
      </c>
      <c r="R107" s="311">
        <f>R63</f>
        <v>0.6</v>
      </c>
      <c r="S107" s="31"/>
      <c r="T107" s="38" t="s">
        <v>43</v>
      </c>
      <c r="U107" s="333">
        <f>U63</f>
        <v>0</v>
      </c>
      <c r="V107" s="314"/>
      <c r="W107" s="315"/>
    </row>
    <row r="108" spans="2:23" ht="12.75">
      <c r="B108" s="22"/>
      <c r="C108" s="23" t="s">
        <v>0</v>
      </c>
      <c r="D108" s="830" t="s">
        <v>20</v>
      </c>
      <c r="E108" s="831"/>
      <c r="F108" s="831"/>
      <c r="G108" s="831"/>
      <c r="H108" s="831"/>
      <c r="I108" s="831"/>
      <c r="J108" s="831"/>
      <c r="K108" s="831"/>
      <c r="L108" s="831"/>
      <c r="M108" s="831"/>
      <c r="N108" s="831"/>
      <c r="O108" s="832"/>
      <c r="P108" s="343"/>
      <c r="Q108" s="46" t="s">
        <v>141</v>
      </c>
      <c r="R108" s="311">
        <f>R64</f>
        <v>0.35</v>
      </c>
      <c r="S108" s="31"/>
      <c r="T108" s="38" t="s">
        <v>44</v>
      </c>
      <c r="U108" s="311">
        <f>U64</f>
        <v>3</v>
      </c>
      <c r="V108" s="5"/>
      <c r="W108" s="315"/>
    </row>
    <row r="109" spans="2:23" ht="12.75">
      <c r="B109" s="6"/>
      <c r="C109" s="24" t="s">
        <v>46</v>
      </c>
      <c r="D109" s="915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7"/>
      <c r="P109" s="339"/>
      <c r="Q109" s="317"/>
      <c r="R109" s="35"/>
      <c r="S109" s="35"/>
      <c r="T109" s="35"/>
      <c r="U109" s="35"/>
      <c r="V109" s="35"/>
      <c r="W109" s="318"/>
    </row>
    <row r="110" spans="2:23" ht="12.75">
      <c r="B110" s="7"/>
      <c r="C110" s="27" t="s">
        <v>47</v>
      </c>
      <c r="D110" s="918">
        <f aca="true" t="shared" si="38" ref="D110:O110">D22</f>
        <v>0.25</v>
      </c>
      <c r="E110" s="911">
        <f t="shared" si="38"/>
        <v>0.5</v>
      </c>
      <c r="F110" s="911">
        <f t="shared" si="38"/>
        <v>1</v>
      </c>
      <c r="G110" s="911">
        <f t="shared" si="38"/>
        <v>1.5</v>
      </c>
      <c r="H110" s="911">
        <f t="shared" si="38"/>
        <v>2</v>
      </c>
      <c r="I110" s="911">
        <f t="shared" si="38"/>
        <v>2.5</v>
      </c>
      <c r="J110" s="911">
        <f t="shared" si="38"/>
        <v>3</v>
      </c>
      <c r="K110" s="911">
        <f t="shared" si="38"/>
        <v>3.5</v>
      </c>
      <c r="L110" s="911">
        <f t="shared" si="38"/>
        <v>4</v>
      </c>
      <c r="M110" s="911">
        <f t="shared" si="38"/>
        <v>5</v>
      </c>
      <c r="N110" s="911">
        <f t="shared" si="38"/>
        <v>6</v>
      </c>
      <c r="O110" s="913">
        <f t="shared" si="38"/>
        <v>7</v>
      </c>
      <c r="P110" s="339"/>
      <c r="Q110" s="47" t="s">
        <v>22</v>
      </c>
      <c r="R110" s="28" t="s">
        <v>21</v>
      </c>
      <c r="S110" s="28" t="s">
        <v>23</v>
      </c>
      <c r="T110" s="320"/>
      <c r="U110" s="18"/>
      <c r="V110" s="18" t="s">
        <v>3</v>
      </c>
      <c r="W110" s="335" t="s">
        <v>35</v>
      </c>
    </row>
    <row r="111" spans="2:23" ht="12.75">
      <c r="B111" s="22"/>
      <c r="C111" s="25" t="s">
        <v>1</v>
      </c>
      <c r="D111" s="919"/>
      <c r="E111" s="912"/>
      <c r="F111" s="912"/>
      <c r="G111" s="912"/>
      <c r="H111" s="912"/>
      <c r="I111" s="912"/>
      <c r="J111" s="912"/>
      <c r="K111" s="912"/>
      <c r="L111" s="912"/>
      <c r="M111" s="912"/>
      <c r="N111" s="912"/>
      <c r="O111" s="914"/>
      <c r="P111" s="339"/>
      <c r="Q111" s="49">
        <f>($D$14*$F$16)/$D$17</f>
        <v>0.16558256289408307</v>
      </c>
      <c r="R111" s="30"/>
      <c r="S111" s="26"/>
      <c r="T111" s="36"/>
      <c r="U111" s="4"/>
      <c r="V111" s="291" t="s">
        <v>36</v>
      </c>
      <c r="W111" s="322"/>
    </row>
    <row r="112" spans="2:23" ht="18" customHeight="1">
      <c r="B112" s="22"/>
      <c r="C112" s="64">
        <f aca="true" t="shared" si="39" ref="C112:C121">C24</f>
        <v>1</v>
      </c>
      <c r="D112" s="71">
        <f aca="true" t="shared" si="40" ref="D112:D121">(($Q$23/R112)/10)*SQRT($D$22)</f>
        <v>125.22800961144742</v>
      </c>
      <c r="E112" s="65">
        <f aca="true" t="shared" si="41" ref="E112:E121">(($Q$23/R112)/10)*SQRT($E$22)</f>
        <v>177.09914958149724</v>
      </c>
      <c r="F112" s="65">
        <f aca="true" t="shared" si="42" ref="F112:F121">(($Q$23/R112)/10)*SQRT($F$22)</f>
        <v>250.45601922289484</v>
      </c>
      <c r="G112" s="65">
        <f aca="true" t="shared" si="43" ref="G112:G121">(($Q$23/R112)/10)*SQRT($G$22)</f>
        <v>306.7447250523937</v>
      </c>
      <c r="H112" s="65">
        <f aca="true" t="shared" si="44" ref="H112:H121">(($Q$23/R112)/10)*SQRT($H$22)</f>
        <v>354.1982991629945</v>
      </c>
      <c r="I112" s="65">
        <f aca="true" t="shared" si="45" ref="I112:I121">(($Q$23/R112)/10)*SQRT($I$22)</f>
        <v>396.0057372216313</v>
      </c>
      <c r="J112" s="65">
        <f aca="true" t="shared" si="46" ref="J112:J121">(($Q$23/R112)/10)*SQRT($J$22)</f>
        <v>433.80255035550124</v>
      </c>
      <c r="K112" s="65">
        <f aca="true" t="shared" si="47" ref="K112:K121">(($Q$23/R112)/10)*SQRT($K$22)</f>
        <v>468.5603071936704</v>
      </c>
      <c r="L112" s="65">
        <f aca="true" t="shared" si="48" ref="L112:L121">(($Q$23/R112)/10)*SQRT($L$22)</f>
        <v>500.9120384457897</v>
      </c>
      <c r="M112" s="65">
        <f aca="true" t="shared" si="49" ref="M112:M121">(($Q$23/R112)/10)*SQRT($M$22)</f>
        <v>560.0366843563869</v>
      </c>
      <c r="N112" s="65">
        <f aca="true" t="shared" si="50" ref="N112:N121">(($Q$23/R112)/10)*SQRT($N$22)</f>
        <v>613.4894501047874</v>
      </c>
      <c r="O112" s="66">
        <f aca="true" t="shared" si="51" ref="O112:O121">(($Q$23/R112)/10)*SQRT($O$22)</f>
        <v>662.6443412229924</v>
      </c>
      <c r="P112" s="339"/>
      <c r="Q112" s="51"/>
      <c r="R112" s="29">
        <f aca="true" t="shared" si="52" ref="R112:R121">((0.278*$K$17*POWER(10,-6)*(($R$18*$U$106)+($R$19*W112)+($R$20*$U$20))))</f>
        <v>6.611243099999999E-05</v>
      </c>
      <c r="S112" s="165">
        <f aca="true" t="shared" si="53" ref="S112:S121">($Q$23/R112)/10</f>
        <v>250.45601922289484</v>
      </c>
      <c r="T112" s="3"/>
      <c r="U112" s="10"/>
      <c r="V112" s="52">
        <f aca="true" t="shared" si="54" ref="V112:V121">C112</f>
        <v>1</v>
      </c>
      <c r="W112" s="336">
        <f aca="true" t="shared" si="55" ref="W112:W121">$Q$17*V112</f>
        <v>1</v>
      </c>
    </row>
    <row r="113" spans="2:23" ht="18" customHeight="1">
      <c r="B113" s="15"/>
      <c r="C113" s="64">
        <f t="shared" si="39"/>
        <v>2</v>
      </c>
      <c r="D113" s="71">
        <f t="shared" si="40"/>
        <v>91.83387371506143</v>
      </c>
      <c r="E113" s="67">
        <f t="shared" si="41"/>
        <v>129.87270969309796</v>
      </c>
      <c r="F113" s="67">
        <f t="shared" si="42"/>
        <v>183.66774743012286</v>
      </c>
      <c r="G113" s="67">
        <f t="shared" si="43"/>
        <v>224.94613170508865</v>
      </c>
      <c r="H113" s="67">
        <f t="shared" si="44"/>
        <v>259.7454193861959</v>
      </c>
      <c r="I113" s="67">
        <f t="shared" si="45"/>
        <v>290.40420729586293</v>
      </c>
      <c r="J113" s="67">
        <f t="shared" si="46"/>
        <v>318.12187026070086</v>
      </c>
      <c r="K113" s="67">
        <f t="shared" si="47"/>
        <v>343.61089194202486</v>
      </c>
      <c r="L113" s="67">
        <f t="shared" si="48"/>
        <v>367.3354948602457</v>
      </c>
      <c r="M113" s="67">
        <f t="shared" si="49"/>
        <v>410.693568528017</v>
      </c>
      <c r="N113" s="67">
        <f t="shared" si="50"/>
        <v>449.8922634101773</v>
      </c>
      <c r="O113" s="68">
        <f t="shared" si="51"/>
        <v>485.93918356352765</v>
      </c>
      <c r="P113" s="339"/>
      <c r="Q113" s="51"/>
      <c r="R113" s="30">
        <f t="shared" si="52"/>
        <v>9.0153315E-05</v>
      </c>
      <c r="S113" s="78">
        <f t="shared" si="53"/>
        <v>183.66774743012286</v>
      </c>
      <c r="T113" s="3"/>
      <c r="U113" s="10"/>
      <c r="V113" s="52">
        <f t="shared" si="54"/>
        <v>2</v>
      </c>
      <c r="W113" s="336">
        <f t="shared" si="55"/>
        <v>2</v>
      </c>
    </row>
    <row r="114" spans="2:23" ht="18" customHeight="1">
      <c r="B114" s="14"/>
      <c r="C114" s="64">
        <f t="shared" si="39"/>
        <v>2.5</v>
      </c>
      <c r="D114" s="71">
        <f t="shared" si="40"/>
        <v>81.02988857211304</v>
      </c>
      <c r="E114" s="67">
        <f t="shared" si="41"/>
        <v>114.59356737626292</v>
      </c>
      <c r="F114" s="67">
        <f t="shared" si="42"/>
        <v>162.05977714422608</v>
      </c>
      <c r="G114" s="67">
        <f t="shared" si="43"/>
        <v>198.48188091625474</v>
      </c>
      <c r="H114" s="67">
        <f t="shared" si="44"/>
        <v>229.18713475252585</v>
      </c>
      <c r="I114" s="67">
        <f t="shared" si="45"/>
        <v>256.23900643752614</v>
      </c>
      <c r="J114" s="67">
        <f t="shared" si="46"/>
        <v>280.69576787708905</v>
      </c>
      <c r="K114" s="67">
        <f t="shared" si="47"/>
        <v>303.1860811253161</v>
      </c>
      <c r="L114" s="67">
        <f t="shared" si="48"/>
        <v>324.11955428845215</v>
      </c>
      <c r="M114" s="67">
        <f t="shared" si="49"/>
        <v>362.37667811295626</v>
      </c>
      <c r="N114" s="67">
        <f t="shared" si="50"/>
        <v>396.9637618325095</v>
      </c>
      <c r="O114" s="68">
        <f t="shared" si="51"/>
        <v>428.7698678501715</v>
      </c>
      <c r="P114" s="339"/>
      <c r="Q114" s="51"/>
      <c r="R114" s="30">
        <f t="shared" si="52"/>
        <v>0.000102173757</v>
      </c>
      <c r="S114" s="78">
        <f t="shared" si="53"/>
        <v>162.05977714422608</v>
      </c>
      <c r="T114" s="3"/>
      <c r="U114" s="10"/>
      <c r="V114" s="52">
        <f t="shared" si="54"/>
        <v>2.5</v>
      </c>
      <c r="W114" s="336">
        <f t="shared" si="55"/>
        <v>2.5</v>
      </c>
    </row>
    <row r="115" spans="3:23" ht="18" customHeight="1">
      <c r="C115" s="64">
        <f t="shared" si="39"/>
        <v>3</v>
      </c>
      <c r="D115" s="71">
        <f t="shared" si="40"/>
        <v>72.50042661715376</v>
      </c>
      <c r="E115" s="67">
        <f t="shared" si="41"/>
        <v>102.53108659981419</v>
      </c>
      <c r="F115" s="67">
        <f t="shared" si="42"/>
        <v>145.00085323430753</v>
      </c>
      <c r="G115" s="67">
        <f t="shared" si="43"/>
        <v>177.58905134612263</v>
      </c>
      <c r="H115" s="67">
        <f t="shared" si="44"/>
        <v>205.06217319962838</v>
      </c>
      <c r="I115" s="67">
        <f t="shared" si="45"/>
        <v>229.26647944410232</v>
      </c>
      <c r="J115" s="67">
        <f t="shared" si="46"/>
        <v>251.1488449426586</v>
      </c>
      <c r="K115" s="67">
        <f t="shared" si="47"/>
        <v>271.27175679633547</v>
      </c>
      <c r="L115" s="67">
        <f t="shared" si="48"/>
        <v>290.00170646861505</v>
      </c>
      <c r="M115" s="67">
        <f t="shared" si="49"/>
        <v>324.2317646273819</v>
      </c>
      <c r="N115" s="67">
        <f t="shared" si="50"/>
        <v>355.17810269224526</v>
      </c>
      <c r="O115" s="68">
        <f t="shared" si="51"/>
        <v>383.63619755015344</v>
      </c>
      <c r="P115" s="339"/>
      <c r="Q115" s="51"/>
      <c r="R115" s="30">
        <f t="shared" si="52"/>
        <v>0.00011419419899999999</v>
      </c>
      <c r="S115" s="78">
        <f t="shared" si="53"/>
        <v>145.00085323430753</v>
      </c>
      <c r="T115" s="3"/>
      <c r="U115" s="10"/>
      <c r="V115" s="52">
        <f t="shared" si="54"/>
        <v>3</v>
      </c>
      <c r="W115" s="336">
        <f t="shared" si="55"/>
        <v>3</v>
      </c>
    </row>
    <row r="116" spans="2:23" ht="18" customHeight="1">
      <c r="B116" s="14"/>
      <c r="C116" s="64">
        <f t="shared" si="39"/>
        <v>3.5</v>
      </c>
      <c r="D116" s="71">
        <f t="shared" si="40"/>
        <v>65.59562408218673</v>
      </c>
      <c r="E116" s="67">
        <f t="shared" si="41"/>
        <v>92.76622120935569</v>
      </c>
      <c r="F116" s="67">
        <f t="shared" si="42"/>
        <v>131.19124816437346</v>
      </c>
      <c r="G116" s="67">
        <f t="shared" si="43"/>
        <v>160.6758083607776</v>
      </c>
      <c r="H116" s="67">
        <f t="shared" si="44"/>
        <v>185.53244241871138</v>
      </c>
      <c r="I116" s="67">
        <f t="shared" si="45"/>
        <v>207.43157663990206</v>
      </c>
      <c r="J116" s="67">
        <f t="shared" si="46"/>
        <v>227.22990732907203</v>
      </c>
      <c r="K116" s="67">
        <f t="shared" si="47"/>
        <v>245.4363513871606</v>
      </c>
      <c r="L116" s="67">
        <f t="shared" si="48"/>
        <v>262.3824963287469</v>
      </c>
      <c r="M116" s="67">
        <f t="shared" si="49"/>
        <v>293.3525489485836</v>
      </c>
      <c r="N116" s="67">
        <f t="shared" si="50"/>
        <v>321.3516167215552</v>
      </c>
      <c r="O116" s="68">
        <f t="shared" si="51"/>
        <v>347.09941683109116</v>
      </c>
      <c r="P116" s="339"/>
      <c r="Q116" s="51"/>
      <c r="R116" s="30">
        <f t="shared" si="52"/>
        <v>0.000126214641</v>
      </c>
      <c r="S116" s="78">
        <f t="shared" si="53"/>
        <v>131.19124816437346</v>
      </c>
      <c r="T116" s="3"/>
      <c r="U116" s="10"/>
      <c r="V116" s="52">
        <f t="shared" si="54"/>
        <v>3.5</v>
      </c>
      <c r="W116" s="336">
        <f t="shared" si="55"/>
        <v>3.5</v>
      </c>
    </row>
    <row r="117" spans="3:23" ht="18" customHeight="1">
      <c r="C117" s="64">
        <f t="shared" si="39"/>
        <v>4</v>
      </c>
      <c r="D117" s="71">
        <f t="shared" si="40"/>
        <v>59.89165677069224</v>
      </c>
      <c r="E117" s="67">
        <f t="shared" si="41"/>
        <v>84.69959327810737</v>
      </c>
      <c r="F117" s="67">
        <f t="shared" si="42"/>
        <v>119.78331354138447</v>
      </c>
      <c r="G117" s="67">
        <f t="shared" si="43"/>
        <v>146.7039989381013</v>
      </c>
      <c r="H117" s="67">
        <f t="shared" si="44"/>
        <v>169.39918655621474</v>
      </c>
      <c r="I117" s="67">
        <f t="shared" si="45"/>
        <v>189.39404823643233</v>
      </c>
      <c r="J117" s="67">
        <f t="shared" si="46"/>
        <v>207.470784952631</v>
      </c>
      <c r="K117" s="67">
        <f t="shared" si="47"/>
        <v>224.09405996219013</v>
      </c>
      <c r="L117" s="67">
        <f t="shared" si="48"/>
        <v>239.56662708276895</v>
      </c>
      <c r="M117" s="67">
        <f t="shared" si="49"/>
        <v>267.8436316487068</v>
      </c>
      <c r="N117" s="67">
        <f t="shared" si="50"/>
        <v>293.4079978762026</v>
      </c>
      <c r="O117" s="68">
        <f t="shared" si="51"/>
        <v>316.9168588457789</v>
      </c>
      <c r="P117" s="339"/>
      <c r="Q117" s="51"/>
      <c r="R117" s="30">
        <f t="shared" si="52"/>
        <v>0.000138235083</v>
      </c>
      <c r="S117" s="78">
        <f t="shared" si="53"/>
        <v>119.78331354138447</v>
      </c>
      <c r="T117" s="3"/>
      <c r="U117" s="10"/>
      <c r="V117" s="52">
        <f t="shared" si="54"/>
        <v>4</v>
      </c>
      <c r="W117" s="336">
        <f t="shared" si="55"/>
        <v>4</v>
      </c>
    </row>
    <row r="118" spans="3:23" ht="18" customHeight="1">
      <c r="C118" s="64">
        <f t="shared" si="39"/>
        <v>5</v>
      </c>
      <c r="D118" s="71">
        <f t="shared" si="40"/>
        <v>51.01881873058969</v>
      </c>
      <c r="E118" s="67">
        <f t="shared" si="41"/>
        <v>72.15150538505445</v>
      </c>
      <c r="F118" s="67">
        <f t="shared" si="42"/>
        <v>102.03763746117939</v>
      </c>
      <c r="G118" s="67">
        <f t="shared" si="43"/>
        <v>124.97007316949373</v>
      </c>
      <c r="H118" s="67">
        <f t="shared" si="44"/>
        <v>144.3030107701089</v>
      </c>
      <c r="I118" s="67">
        <f t="shared" si="45"/>
        <v>161.33567071992388</v>
      </c>
      <c r="J118" s="67">
        <f t="shared" si="46"/>
        <v>176.73437236705607</v>
      </c>
      <c r="K118" s="67">
        <f t="shared" si="47"/>
        <v>190.89493996779163</v>
      </c>
      <c r="L118" s="67">
        <f t="shared" si="48"/>
        <v>204.07527492235877</v>
      </c>
      <c r="M118" s="67">
        <f t="shared" si="49"/>
        <v>228.1630936266762</v>
      </c>
      <c r="N118" s="67">
        <f t="shared" si="50"/>
        <v>249.94014633898746</v>
      </c>
      <c r="O118" s="68">
        <f t="shared" si="51"/>
        <v>269.9662130908488</v>
      </c>
      <c r="P118" s="339"/>
      <c r="Q118" s="51"/>
      <c r="R118" s="30">
        <f t="shared" si="52"/>
        <v>0.00016227596699999999</v>
      </c>
      <c r="S118" s="78">
        <f t="shared" si="53"/>
        <v>102.03763746117939</v>
      </c>
      <c r="T118" s="3"/>
      <c r="U118" s="10"/>
      <c r="V118" s="52">
        <f t="shared" si="54"/>
        <v>5</v>
      </c>
      <c r="W118" s="336">
        <f t="shared" si="55"/>
        <v>5</v>
      </c>
    </row>
    <row r="119" spans="3:23" ht="18" customHeight="1">
      <c r="C119" s="64">
        <f t="shared" si="39"/>
        <v>6</v>
      </c>
      <c r="D119" s="71">
        <f t="shared" si="40"/>
        <v>44.435745345997475</v>
      </c>
      <c r="E119" s="67">
        <f t="shared" si="41"/>
        <v>62.841633722466774</v>
      </c>
      <c r="F119" s="67">
        <f t="shared" si="42"/>
        <v>88.87149069199495</v>
      </c>
      <c r="G119" s="67">
        <f t="shared" si="43"/>
        <v>108.84490243794615</v>
      </c>
      <c r="H119" s="67">
        <f t="shared" si="44"/>
        <v>125.68326744493355</v>
      </c>
      <c r="I119" s="67">
        <f t="shared" si="45"/>
        <v>140.51816482057885</v>
      </c>
      <c r="J119" s="67">
        <f t="shared" si="46"/>
        <v>153.92993722291982</v>
      </c>
      <c r="K119" s="67">
        <f t="shared" si="47"/>
        <v>166.26333481065723</v>
      </c>
      <c r="L119" s="67">
        <f t="shared" si="48"/>
        <v>177.7429813839899</v>
      </c>
      <c r="M119" s="67">
        <f t="shared" si="49"/>
        <v>198.72269444904055</v>
      </c>
      <c r="N119" s="67">
        <f t="shared" si="50"/>
        <v>217.6898048758923</v>
      </c>
      <c r="O119" s="68">
        <f t="shared" si="51"/>
        <v>235.13186301461022</v>
      </c>
      <c r="P119" s="339"/>
      <c r="Q119" s="51"/>
      <c r="R119" s="30">
        <f t="shared" si="52"/>
        <v>0.00018631685099999997</v>
      </c>
      <c r="S119" s="78">
        <f t="shared" si="53"/>
        <v>88.87149069199495</v>
      </c>
      <c r="T119" s="3"/>
      <c r="U119" s="10"/>
      <c r="V119" s="52">
        <f t="shared" si="54"/>
        <v>6</v>
      </c>
      <c r="W119" s="336">
        <f t="shared" si="55"/>
        <v>6</v>
      </c>
    </row>
    <row r="120" spans="2:23" ht="18" customHeight="1">
      <c r="B120" s="20"/>
      <c r="C120" s="64">
        <f t="shared" si="39"/>
        <v>7</v>
      </c>
      <c r="D120" s="71">
        <f t="shared" si="40"/>
        <v>39.35737444931204</v>
      </c>
      <c r="E120" s="67">
        <f t="shared" si="41"/>
        <v>55.65973272561342</v>
      </c>
      <c r="F120" s="67">
        <f t="shared" si="42"/>
        <v>78.71474889862408</v>
      </c>
      <c r="G120" s="67">
        <f t="shared" si="43"/>
        <v>96.40548501646657</v>
      </c>
      <c r="H120" s="67">
        <f t="shared" si="44"/>
        <v>111.31946545122683</v>
      </c>
      <c r="I120" s="67">
        <f t="shared" si="45"/>
        <v>124.45894598394125</v>
      </c>
      <c r="J120" s="67">
        <f t="shared" si="46"/>
        <v>136.33794439744324</v>
      </c>
      <c r="K120" s="67">
        <f t="shared" si="47"/>
        <v>147.26181083229636</v>
      </c>
      <c r="L120" s="67">
        <f t="shared" si="48"/>
        <v>157.42949779724816</v>
      </c>
      <c r="M120" s="67">
        <f t="shared" si="49"/>
        <v>176.01152936915017</v>
      </c>
      <c r="N120" s="67">
        <f t="shared" si="50"/>
        <v>192.81097003293314</v>
      </c>
      <c r="O120" s="68">
        <f t="shared" si="51"/>
        <v>208.2596500986547</v>
      </c>
      <c r="P120" s="339"/>
      <c r="Q120" s="51"/>
      <c r="R120" s="30">
        <f t="shared" si="52"/>
        <v>0.000210357735</v>
      </c>
      <c r="S120" s="78">
        <f t="shared" si="53"/>
        <v>78.71474889862408</v>
      </c>
      <c r="T120" s="3"/>
      <c r="U120" s="10"/>
      <c r="V120" s="52">
        <f t="shared" si="54"/>
        <v>7</v>
      </c>
      <c r="W120" s="336">
        <f t="shared" si="55"/>
        <v>7</v>
      </c>
    </row>
    <row r="121" spans="3:23" ht="18" customHeight="1" thickBot="1">
      <c r="C121" s="64">
        <f t="shared" si="39"/>
        <v>8</v>
      </c>
      <c r="D121" s="71">
        <f t="shared" si="40"/>
        <v>35.320720659639015</v>
      </c>
      <c r="E121" s="69">
        <f t="shared" si="41"/>
        <v>49.95104218965307</v>
      </c>
      <c r="F121" s="69">
        <f t="shared" si="42"/>
        <v>70.64144131927803</v>
      </c>
      <c r="G121" s="69">
        <f t="shared" si="43"/>
        <v>86.51774296349565</v>
      </c>
      <c r="H121" s="69">
        <f t="shared" si="44"/>
        <v>99.90208437930615</v>
      </c>
      <c r="I121" s="69">
        <f t="shared" si="45"/>
        <v>111.6939258830242</v>
      </c>
      <c r="J121" s="69">
        <f t="shared" si="46"/>
        <v>122.35456548488496</v>
      </c>
      <c r="K121" s="69">
        <f t="shared" si="47"/>
        <v>132.1580353623173</v>
      </c>
      <c r="L121" s="69">
        <f t="shared" si="48"/>
        <v>141.28288263855606</v>
      </c>
      <c r="M121" s="69">
        <f t="shared" si="49"/>
        <v>157.9590648184681</v>
      </c>
      <c r="N121" s="69">
        <f t="shared" si="50"/>
        <v>173.0354859269913</v>
      </c>
      <c r="O121" s="70">
        <f t="shared" si="51"/>
        <v>186.8996859859722</v>
      </c>
      <c r="P121" s="339"/>
      <c r="Q121" s="53"/>
      <c r="R121" s="54">
        <f t="shared" si="52"/>
        <v>0.000234398619</v>
      </c>
      <c r="S121" s="106">
        <f t="shared" si="53"/>
        <v>70.64144131927803</v>
      </c>
      <c r="T121" s="56"/>
      <c r="U121" s="57"/>
      <c r="V121" s="58">
        <f t="shared" si="54"/>
        <v>8</v>
      </c>
      <c r="W121" s="337">
        <f t="shared" si="55"/>
        <v>8</v>
      </c>
    </row>
    <row r="122" spans="2:16" ht="18" customHeight="1">
      <c r="B122" s="21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1"/>
      <c r="P122" s="339"/>
    </row>
    <row r="123" spans="3:16" ht="18" customHeight="1">
      <c r="C123" s="82"/>
      <c r="D123" s="6" t="s">
        <v>31</v>
      </c>
      <c r="E123" s="920">
        <f>Q128</f>
        <v>413.25243171777646</v>
      </c>
      <c r="F123" s="920"/>
      <c r="G123" s="3" t="s">
        <v>33</v>
      </c>
      <c r="H123" s="183" t="s">
        <v>280</v>
      </c>
      <c r="I123" s="606">
        <f>R106</f>
        <v>0.9</v>
      </c>
      <c r="J123" s="3" t="s">
        <v>281</v>
      </c>
      <c r="K123" s="606">
        <f>R107</f>
        <v>0.6</v>
      </c>
      <c r="L123" s="3" t="s">
        <v>282</v>
      </c>
      <c r="M123" s="606">
        <f>R108</f>
        <v>0.35</v>
      </c>
      <c r="N123" s="3" t="s">
        <v>283</v>
      </c>
      <c r="O123" s="83" t="s">
        <v>284</v>
      </c>
      <c r="P123" s="339"/>
    </row>
    <row r="124" spans="3:21" ht="15" customHeight="1">
      <c r="C124" s="8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3"/>
      <c r="P124" s="339"/>
      <c r="T124" s="1"/>
      <c r="U124" s="1"/>
    </row>
    <row r="125" spans="3:21" ht="15" customHeight="1">
      <c r="C125" s="8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3"/>
      <c r="P125" s="339"/>
      <c r="S125" s="338"/>
      <c r="T125" s="338"/>
      <c r="U125" s="1"/>
    </row>
    <row r="126" spans="3:21" ht="15" customHeight="1">
      <c r="C126" s="82"/>
      <c r="D126" s="6" t="s">
        <v>31</v>
      </c>
      <c r="E126" s="5" t="s">
        <v>25</v>
      </c>
      <c r="F126" s="5"/>
      <c r="G126" s="5"/>
      <c r="H126" s="5"/>
      <c r="I126" s="5"/>
      <c r="J126" s="5"/>
      <c r="K126" s="5"/>
      <c r="L126" s="5"/>
      <c r="M126" s="5"/>
      <c r="N126" s="5"/>
      <c r="O126" s="83"/>
      <c r="P126" s="339"/>
      <c r="Q126" s="97">
        <f>Q111</f>
        <v>0.16558256289408307</v>
      </c>
      <c r="T126" s="1"/>
      <c r="U126" s="1"/>
    </row>
    <row r="127" spans="3:21" ht="15" customHeight="1">
      <c r="C127" s="82"/>
      <c r="D127" s="6" t="s">
        <v>32</v>
      </c>
      <c r="E127" s="5" t="s">
        <v>26</v>
      </c>
      <c r="F127" s="5"/>
      <c r="G127" s="5"/>
      <c r="H127" s="5"/>
      <c r="I127" s="5"/>
      <c r="J127" s="5"/>
      <c r="K127" s="5"/>
      <c r="L127" s="5"/>
      <c r="M127" s="5"/>
      <c r="N127" s="5"/>
      <c r="O127" s="83"/>
      <c r="P127" s="339"/>
      <c r="Q127" s="98">
        <f>((0.278*$K$61*POWER(10,-6)))</f>
        <v>4.006814E-05</v>
      </c>
      <c r="T127" s="1"/>
      <c r="U127" s="1"/>
    </row>
    <row r="128" spans="3:21" ht="15" customHeight="1">
      <c r="C128" s="82"/>
      <c r="D128" s="6" t="s">
        <v>29</v>
      </c>
      <c r="E128" s="5" t="s">
        <v>27</v>
      </c>
      <c r="F128" s="5"/>
      <c r="G128" s="5"/>
      <c r="H128" s="5"/>
      <c r="I128" s="5"/>
      <c r="J128" s="5"/>
      <c r="K128" s="5"/>
      <c r="L128" s="119">
        <f>U106</f>
        <v>0</v>
      </c>
      <c r="M128" s="5"/>
      <c r="N128" s="5"/>
      <c r="O128" s="83"/>
      <c r="P128" s="339"/>
      <c r="Q128" s="102">
        <f>(Q126/Q127)/10</f>
        <v>413.25243171777646</v>
      </c>
      <c r="T128" s="1"/>
      <c r="U128" s="1"/>
    </row>
    <row r="129" spans="3:21" ht="15" customHeight="1">
      <c r="C129" s="82"/>
      <c r="D129" s="6" t="s">
        <v>43</v>
      </c>
      <c r="E129" s="5" t="s">
        <v>28</v>
      </c>
      <c r="F129" s="5"/>
      <c r="G129" s="5"/>
      <c r="H129" s="5"/>
      <c r="I129" s="5"/>
      <c r="J129" s="5"/>
      <c r="K129" s="5"/>
      <c r="L129" s="9" t="s">
        <v>34</v>
      </c>
      <c r="M129" s="5"/>
      <c r="N129" s="5"/>
      <c r="O129" s="83"/>
      <c r="P129" s="339"/>
      <c r="Q129" s="99"/>
      <c r="T129" s="1"/>
      <c r="U129" s="1"/>
    </row>
    <row r="130" spans="3:21" ht="15" customHeight="1">
      <c r="C130" s="82"/>
      <c r="D130" s="6" t="s">
        <v>44</v>
      </c>
      <c r="E130" s="5" t="s">
        <v>30</v>
      </c>
      <c r="F130" s="5"/>
      <c r="G130" s="5"/>
      <c r="H130" s="5"/>
      <c r="I130" s="5"/>
      <c r="J130" s="5"/>
      <c r="K130" s="5"/>
      <c r="L130" s="119">
        <f>U108</f>
        <v>3</v>
      </c>
      <c r="M130" s="5"/>
      <c r="N130" s="5"/>
      <c r="O130" s="83"/>
      <c r="P130" s="339"/>
      <c r="Q130" s="100"/>
      <c r="T130" s="1"/>
      <c r="U130" s="1"/>
    </row>
    <row r="131" spans="3:21" ht="12.75" customHeight="1">
      <c r="C131" s="82"/>
      <c r="M131" s="5"/>
      <c r="N131" s="5"/>
      <c r="O131" s="83"/>
      <c r="P131" s="339"/>
      <c r="R131" s="101"/>
      <c r="T131" s="1"/>
      <c r="U131" s="1"/>
    </row>
    <row r="132" spans="3:21" ht="30" customHeight="1">
      <c r="C132" s="8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85"/>
      <c r="P132" s="339"/>
      <c r="T132" s="1"/>
      <c r="U132" s="1"/>
    </row>
    <row r="133" spans="2:21" ht="9.75" customHeight="1">
      <c r="B133" s="5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121"/>
      <c r="T133" s="1"/>
      <c r="U133" s="1"/>
    </row>
  </sheetData>
  <sheetProtection/>
  <mergeCells count="77">
    <mergeCell ref="R46:S46"/>
    <mergeCell ref="E79:F79"/>
    <mergeCell ref="H22:H23"/>
    <mergeCell ref="D51:N51"/>
    <mergeCell ref="O22:O23"/>
    <mergeCell ref="G46:O46"/>
    <mergeCell ref="G47:O47"/>
    <mergeCell ref="S58:T58"/>
    <mergeCell ref="G49:O49"/>
    <mergeCell ref="D22:D23"/>
    <mergeCell ref="D12:M12"/>
    <mergeCell ref="D20:O21"/>
    <mergeCell ref="J22:J23"/>
    <mergeCell ref="K22:K23"/>
    <mergeCell ref="L22:L23"/>
    <mergeCell ref="G22:G23"/>
    <mergeCell ref="M22:M23"/>
    <mergeCell ref="N22:N23"/>
    <mergeCell ref="J14:K14"/>
    <mergeCell ref="L14:O14"/>
    <mergeCell ref="G2:O2"/>
    <mergeCell ref="G3:O3"/>
    <mergeCell ref="G5:O5"/>
    <mergeCell ref="D10:M10"/>
    <mergeCell ref="D7:M7"/>
    <mergeCell ref="D8:M8"/>
    <mergeCell ref="G4:O4"/>
    <mergeCell ref="C2:F5"/>
    <mergeCell ref="E22:E23"/>
    <mergeCell ref="F22:F23"/>
    <mergeCell ref="E35:F35"/>
    <mergeCell ref="G48:O48"/>
    <mergeCell ref="C46:F49"/>
    <mergeCell ref="I22:I23"/>
    <mergeCell ref="D64:O65"/>
    <mergeCell ref="D52:N52"/>
    <mergeCell ref="D54:M54"/>
    <mergeCell ref="D56:M56"/>
    <mergeCell ref="J58:K58"/>
    <mergeCell ref="L58:O58"/>
    <mergeCell ref="G110:G111"/>
    <mergeCell ref="H110:H111"/>
    <mergeCell ref="L102:O102"/>
    <mergeCell ref="G90:O90"/>
    <mergeCell ref="G91:O91"/>
    <mergeCell ref="G93:O93"/>
    <mergeCell ref="D95:N95"/>
    <mergeCell ref="G92:O92"/>
    <mergeCell ref="C90:F93"/>
    <mergeCell ref="O110:O111"/>
    <mergeCell ref="E123:F123"/>
    <mergeCell ref="D110:D111"/>
    <mergeCell ref="E110:E111"/>
    <mergeCell ref="F110:F111"/>
    <mergeCell ref="I110:I111"/>
    <mergeCell ref="D96:N96"/>
    <mergeCell ref="D98:M98"/>
    <mergeCell ref="D100:M100"/>
    <mergeCell ref="J102:K102"/>
    <mergeCell ref="N110:N111"/>
    <mergeCell ref="I66:I67"/>
    <mergeCell ref="J66:J67"/>
    <mergeCell ref="K66:K67"/>
    <mergeCell ref="D66:D67"/>
    <mergeCell ref="E66:E67"/>
    <mergeCell ref="F66:F67"/>
    <mergeCell ref="G66:G67"/>
    <mergeCell ref="N66:N67"/>
    <mergeCell ref="O66:O67"/>
    <mergeCell ref="D108:O109"/>
    <mergeCell ref="J110:J111"/>
    <mergeCell ref="K110:K111"/>
    <mergeCell ref="L110:L111"/>
    <mergeCell ref="M110:M111"/>
    <mergeCell ref="L66:L67"/>
    <mergeCell ref="M66:M67"/>
    <mergeCell ref="H66:H67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8"/>
  <rowBreaks count="1" manualBreakCount="1">
    <brk id="44" max="255" man="1"/>
  </rowBreaks>
  <drawing r:id="rId7"/>
  <legacyDrawing r:id="rId6"/>
  <oleObjects>
    <oleObject progId="Equation.3" shapeId="136802" r:id="rId1"/>
    <oleObject progId="Equation.3" shapeId="136803" r:id="rId2"/>
    <oleObject progId="Equation.3" shapeId="136804" r:id="rId3"/>
    <oleObject progId="Equation.3" shapeId="136805" r:id="rId4"/>
    <oleObject progId="Equation.3" shapeId="13680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W133"/>
  <sheetViews>
    <sheetView zoomScalePageLayoutView="0" workbookViewId="0" topLeftCell="A25">
      <selection activeCell="Q11" sqref="Q11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'[8]BASE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tr">
        <f>'[8]BASE '!G3</f>
        <v>Rodovia: MG-314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tr">
        <f>'[8]BASE '!G4</f>
        <v>Trecho: Entrº MG-416 (Peçanha) - LMG-744 (Coroaci)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>
        <f>'[8]BASE '!G5</f>
        <v>0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48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 t="s">
        <v>54</v>
      </c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353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0.038</v>
      </c>
      <c r="E14" s="5" t="s">
        <v>8</v>
      </c>
      <c r="F14" s="12"/>
      <c r="G14" s="12"/>
      <c r="H14" s="12"/>
      <c r="I14" s="12"/>
      <c r="J14" s="810" t="s">
        <v>51</v>
      </c>
      <c r="K14" s="810"/>
      <c r="L14" s="922" t="str">
        <f>'[8]BASE '!$L$14</f>
        <v>Governador Valadares-MG</v>
      </c>
      <c r="M14" s="922"/>
      <c r="N14" s="922"/>
      <c r="O14" s="923"/>
      <c r="P14" s="299"/>
    </row>
    <row r="15" spans="3:16" ht="15" customHeight="1" thickBot="1">
      <c r="C15" s="87" t="s">
        <v>5</v>
      </c>
      <c r="D15" s="125">
        <v>0.596</v>
      </c>
      <c r="E15" s="5" t="s">
        <v>7</v>
      </c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0.06375838926174497</v>
      </c>
      <c r="E16" s="8" t="s">
        <v>7</v>
      </c>
      <c r="F16" s="92">
        <f>POWER($D$16,2/3)</f>
        <v>0.1595970616432253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f>'[8]BASE '!K17</f>
        <v>144.13</v>
      </c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778">
        <f aca="true" t="shared" si="0" ref="D18:O18">D19*$D$14</f>
        <v>0.02021562780814187</v>
      </c>
      <c r="E18" s="778">
        <f t="shared" si="0"/>
        <v>0.028589215018160915</v>
      </c>
      <c r="F18" s="778">
        <f t="shared" si="0"/>
        <v>0.04043125561628374</v>
      </c>
      <c r="G18" s="778">
        <f t="shared" si="0"/>
        <v>0.049517972959965885</v>
      </c>
      <c r="H18" s="778">
        <f t="shared" si="0"/>
        <v>0.05717843003632183</v>
      </c>
      <c r="I18" s="778">
        <f t="shared" si="0"/>
        <v>0.0639274282039657</v>
      </c>
      <c r="J18" s="778">
        <f t="shared" si="0"/>
        <v>0.07002898894120796</v>
      </c>
      <c r="K18" s="778">
        <f t="shared" si="0"/>
        <v>0.07563995311660673</v>
      </c>
      <c r="L18" s="778">
        <f t="shared" si="0"/>
        <v>0.08086251123256748</v>
      </c>
      <c r="M18" s="778">
        <f t="shared" si="0"/>
        <v>0.09040703597368059</v>
      </c>
      <c r="N18" s="778">
        <f t="shared" si="0"/>
        <v>0.09903594591993177</v>
      </c>
      <c r="O18" s="779">
        <f t="shared" si="0"/>
        <v>0.10697104755477031</v>
      </c>
      <c r="P18" s="310"/>
      <c r="Q18" s="46" t="s">
        <v>139</v>
      </c>
      <c r="R18" s="311">
        <v>0.9</v>
      </c>
      <c r="S18" s="31"/>
      <c r="T18" s="38" t="s">
        <v>29</v>
      </c>
      <c r="U18" s="311">
        <v>4.3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0.5319902054774176</v>
      </c>
      <c r="E19" s="188">
        <f t="shared" si="1"/>
        <v>0.7523477636358136</v>
      </c>
      <c r="F19" s="188">
        <f t="shared" si="1"/>
        <v>1.0639804109548352</v>
      </c>
      <c r="G19" s="188">
        <f t="shared" si="1"/>
        <v>1.3031045515780497</v>
      </c>
      <c r="H19" s="188">
        <f t="shared" si="1"/>
        <v>1.5046955272716271</v>
      </c>
      <c r="I19" s="188">
        <f t="shared" si="1"/>
        <v>1.6823007422096237</v>
      </c>
      <c r="J19" s="188">
        <f t="shared" si="1"/>
        <v>1.8428681300317884</v>
      </c>
      <c r="K19" s="188">
        <f t="shared" si="1"/>
        <v>1.9905250820159668</v>
      </c>
      <c r="L19" s="188">
        <f t="shared" si="1"/>
        <v>2.1279608219096704</v>
      </c>
      <c r="M19" s="188">
        <f t="shared" si="1"/>
        <v>2.3791325256231737</v>
      </c>
      <c r="N19" s="188">
        <f t="shared" si="1"/>
        <v>2.6062091031560994</v>
      </c>
      <c r="O19" s="189">
        <f t="shared" si="1"/>
        <v>2.8150275672307976</v>
      </c>
      <c r="P19" s="312">
        <v>0.4</v>
      </c>
      <c r="Q19" s="46" t="s">
        <v>140</v>
      </c>
      <c r="R19" s="311">
        <v>0.6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0.25</v>
      </c>
      <c r="E22" s="927">
        <v>0.5</v>
      </c>
      <c r="F22" s="927">
        <v>1</v>
      </c>
      <c r="G22" s="927">
        <v>1.5</v>
      </c>
      <c r="H22" s="927">
        <v>2</v>
      </c>
      <c r="I22" s="927">
        <v>2.5</v>
      </c>
      <c r="J22" s="927">
        <v>3</v>
      </c>
      <c r="K22" s="927">
        <v>3.5</v>
      </c>
      <c r="L22" s="927">
        <v>4</v>
      </c>
      <c r="M22" s="927">
        <v>5</v>
      </c>
      <c r="N22" s="927">
        <v>6</v>
      </c>
      <c r="O22" s="930">
        <v>7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0.4043125561628374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91.4005844673213</v>
      </c>
      <c r="E24" s="65">
        <f aca="true" t="shared" si="3" ref="E24:E33">(($Q$23/R24)/10)*SQRT($E$22)</f>
        <v>129.25994616251344</v>
      </c>
      <c r="F24" s="65">
        <f aca="true" t="shared" si="4" ref="F24:F33">(($Q$23/R24)/10)*SQRT($F$22)</f>
        <v>182.8011689346426</v>
      </c>
      <c r="G24" s="65">
        <f aca="true" t="shared" si="5" ref="G24:G33">(($Q$23/R24)/10)*SQRT($G$22)</f>
        <v>223.88479413709095</v>
      </c>
      <c r="H24" s="65">
        <f aca="true" t="shared" si="6" ref="H24:H33">(($Q$23/R24)/10)*SQRT($H$22)</f>
        <v>258.5198923250269</v>
      </c>
      <c r="I24" s="65">
        <f aca="true" t="shared" si="7" ref="I24:I33">(($Q$23/R24)/10)*SQRT($I$22)</f>
        <v>289.0340263873431</v>
      </c>
      <c r="J24" s="65">
        <f aca="true" t="shared" si="8" ref="J24:J33">(($Q$23/R24)/10)*SQRT($J$22)</f>
        <v>316.62091227778245</v>
      </c>
      <c r="K24" s="65">
        <f aca="true" t="shared" si="9" ref="K24:K33">(($Q$23/R24)/10)*SQRT($K$22)</f>
        <v>341.98967202760826</v>
      </c>
      <c r="L24" s="65">
        <f aca="true" t="shared" si="10" ref="L24:L33">(($Q$23/R24)/10)*SQRT($L$22)</f>
        <v>365.6023378692852</v>
      </c>
      <c r="M24" s="65">
        <f aca="true" t="shared" si="11" ref="M24:M33">(($Q$23/R24)/10)*SQRT($M$22)</f>
        <v>408.75584010428366</v>
      </c>
      <c r="N24" s="65">
        <f aca="true" t="shared" si="12" ref="N24:N33">(($Q$23/R24)/10)*SQRT($N$22)</f>
        <v>447.7695882741819</v>
      </c>
      <c r="O24" s="66">
        <f aca="true" t="shared" si="13" ref="O24:O33">(($Q$23/R24)/10)*SQRT($O$22)</f>
        <v>483.64643237297037</v>
      </c>
      <c r="P24" s="299"/>
      <c r="Q24" s="51"/>
      <c r="R24" s="29">
        <f aca="true" t="shared" si="14" ref="R24:R33">((0.278*$K$17*POWER(10,-6)*(($R$18*$U$18)+($R$19*W24)+($R$20*$U$20))))</f>
        <v>0.00022117613279999998</v>
      </c>
      <c r="S24" s="165">
        <f aca="true" t="shared" si="15" ref="S24:S33">($Q$23/R24)/10</f>
        <v>182.8011689346426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82.43974285287801</v>
      </c>
      <c r="E25" s="67">
        <f t="shared" si="3"/>
        <v>116.58740242109053</v>
      </c>
      <c r="F25" s="67">
        <f t="shared" si="4"/>
        <v>164.87948570575603</v>
      </c>
      <c r="G25" s="67">
        <f t="shared" si="5"/>
        <v>201.9353045158075</v>
      </c>
      <c r="H25" s="67">
        <f t="shared" si="6"/>
        <v>233.17480484218106</v>
      </c>
      <c r="I25" s="67">
        <f t="shared" si="7"/>
        <v>260.697357133682</v>
      </c>
      <c r="J25" s="67">
        <f t="shared" si="8"/>
        <v>285.5796463681959</v>
      </c>
      <c r="K25" s="67">
        <f t="shared" si="9"/>
        <v>308.46127280921525</v>
      </c>
      <c r="L25" s="67">
        <f t="shared" si="10"/>
        <v>329.75897141151205</v>
      </c>
      <c r="M25" s="67">
        <f t="shared" si="11"/>
        <v>368.68173813327536</v>
      </c>
      <c r="N25" s="67">
        <f t="shared" si="12"/>
        <v>403.870609031615</v>
      </c>
      <c r="O25" s="68">
        <f t="shared" si="13"/>
        <v>436.23011547365945</v>
      </c>
      <c r="P25" s="299"/>
      <c r="Q25" s="51"/>
      <c r="R25" s="30">
        <f t="shared" si="14"/>
        <v>0.0002452170168</v>
      </c>
      <c r="S25" s="78">
        <f t="shared" si="15"/>
        <v>164.87948570575603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78.58741842050054</v>
      </c>
      <c r="E26" s="67">
        <f t="shared" si="3"/>
        <v>111.13939296216107</v>
      </c>
      <c r="F26" s="67">
        <f t="shared" si="4"/>
        <v>157.17483684100108</v>
      </c>
      <c r="G26" s="67">
        <f t="shared" si="5"/>
        <v>192.49907533282584</v>
      </c>
      <c r="H26" s="67">
        <f t="shared" si="6"/>
        <v>222.27878592432214</v>
      </c>
      <c r="I26" s="67">
        <f t="shared" si="7"/>
        <v>248.51523764145387</v>
      </c>
      <c r="J26" s="67">
        <f t="shared" si="8"/>
        <v>272.23480307996243</v>
      </c>
      <c r="K26" s="67">
        <f t="shared" si="9"/>
        <v>294.04719464056035</v>
      </c>
      <c r="L26" s="67">
        <f t="shared" si="10"/>
        <v>314.34967368200216</v>
      </c>
      <c r="M26" s="67">
        <f t="shared" si="11"/>
        <v>351.45361952891676</v>
      </c>
      <c r="N26" s="67">
        <f t="shared" si="12"/>
        <v>384.9981506656517</v>
      </c>
      <c r="O26" s="68">
        <f t="shared" si="13"/>
        <v>415.84553063844174</v>
      </c>
      <c r="P26" s="299"/>
      <c r="Q26" s="51"/>
      <c r="R26" s="30">
        <f t="shared" si="14"/>
        <v>0.0002572374588</v>
      </c>
      <c r="S26" s="78">
        <f t="shared" si="15"/>
        <v>157.17483684100108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75.0790515267282</v>
      </c>
      <c r="E27" s="67">
        <f t="shared" si="3"/>
        <v>106.17781291920744</v>
      </c>
      <c r="F27" s="67">
        <f t="shared" si="4"/>
        <v>150.1581030534564</v>
      </c>
      <c r="G27" s="67">
        <f t="shared" si="5"/>
        <v>183.9053666126104</v>
      </c>
      <c r="H27" s="67">
        <f t="shared" si="6"/>
        <v>212.35562583841488</v>
      </c>
      <c r="I27" s="67">
        <f t="shared" si="7"/>
        <v>237.42080738960323</v>
      </c>
      <c r="J27" s="67">
        <f t="shared" si="8"/>
        <v>260.0814636567498</v>
      </c>
      <c r="K27" s="67">
        <f t="shared" si="9"/>
        <v>280.9200877369639</v>
      </c>
      <c r="L27" s="67">
        <f t="shared" si="10"/>
        <v>300.3162061069128</v>
      </c>
      <c r="M27" s="67">
        <f t="shared" si="11"/>
        <v>335.7637257999472</v>
      </c>
      <c r="N27" s="67">
        <f t="shared" si="12"/>
        <v>367.8107332252208</v>
      </c>
      <c r="O27" s="68">
        <f t="shared" si="13"/>
        <v>397.2809980206542</v>
      </c>
      <c r="P27" s="299"/>
      <c r="Q27" s="51"/>
      <c r="R27" s="30">
        <f t="shared" si="14"/>
        <v>0.0002692579008</v>
      </c>
      <c r="S27" s="78">
        <f t="shared" si="15"/>
        <v>150.1581030534564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71.87054505122698</v>
      </c>
      <c r="E28" s="67">
        <f t="shared" si="3"/>
        <v>101.64029954659173</v>
      </c>
      <c r="F28" s="67">
        <f t="shared" si="4"/>
        <v>143.74109010245397</v>
      </c>
      <c r="G28" s="67">
        <f t="shared" si="5"/>
        <v>176.04616291121678</v>
      </c>
      <c r="H28" s="67">
        <f t="shared" si="6"/>
        <v>203.28059909318347</v>
      </c>
      <c r="I28" s="67">
        <f t="shared" si="7"/>
        <v>227.27461903962018</v>
      </c>
      <c r="J28" s="67">
        <f t="shared" si="8"/>
        <v>248.96687119278613</v>
      </c>
      <c r="K28" s="67">
        <f t="shared" si="9"/>
        <v>268.9149557823928</v>
      </c>
      <c r="L28" s="67">
        <f t="shared" si="10"/>
        <v>287.48218020490793</v>
      </c>
      <c r="M28" s="67">
        <f t="shared" si="11"/>
        <v>321.41484862900927</v>
      </c>
      <c r="N28" s="67">
        <f t="shared" si="12"/>
        <v>352.09232582243357</v>
      </c>
      <c r="O28" s="68">
        <f t="shared" si="13"/>
        <v>380.30317759242104</v>
      </c>
      <c r="P28" s="299"/>
      <c r="Q28" s="51"/>
      <c r="R28" s="30">
        <f t="shared" si="14"/>
        <v>0.0002812783428</v>
      </c>
      <c r="S28" s="78">
        <f t="shared" si="15"/>
        <v>143.74109010245397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68.92503090978326</v>
      </c>
      <c r="E29" s="67">
        <f t="shared" si="3"/>
        <v>97.47471349960028</v>
      </c>
      <c r="F29" s="67">
        <f t="shared" si="4"/>
        <v>137.85006181956652</v>
      </c>
      <c r="G29" s="67">
        <f t="shared" si="5"/>
        <v>168.83115623452758</v>
      </c>
      <c r="H29" s="67">
        <f t="shared" si="6"/>
        <v>194.94942699920057</v>
      </c>
      <c r="I29" s="67">
        <f t="shared" si="7"/>
        <v>217.96008547242263</v>
      </c>
      <c r="J29" s="67">
        <f t="shared" si="8"/>
        <v>238.76331089799984</v>
      </c>
      <c r="K29" s="67">
        <f t="shared" si="9"/>
        <v>257.89385103721276</v>
      </c>
      <c r="L29" s="67">
        <f t="shared" si="10"/>
        <v>275.70012363913304</v>
      </c>
      <c r="M29" s="67">
        <f t="shared" si="11"/>
        <v>308.2421089310991</v>
      </c>
      <c r="N29" s="67">
        <f t="shared" si="12"/>
        <v>337.66231246905517</v>
      </c>
      <c r="O29" s="68">
        <f t="shared" si="13"/>
        <v>364.716981789453</v>
      </c>
      <c r="P29" s="299"/>
      <c r="Q29" s="51"/>
      <c r="R29" s="30">
        <f t="shared" si="14"/>
        <v>0.0002932987848</v>
      </c>
      <c r="S29" s="78">
        <f t="shared" si="15"/>
        <v>137.85006181956652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63.70343765904211</v>
      </c>
      <c r="E30" s="67">
        <f t="shared" si="3"/>
        <v>90.09026550720633</v>
      </c>
      <c r="F30" s="67">
        <f t="shared" si="4"/>
        <v>127.40687531808422</v>
      </c>
      <c r="G30" s="67">
        <f t="shared" si="5"/>
        <v>156.04091712585125</v>
      </c>
      <c r="H30" s="67">
        <f t="shared" si="6"/>
        <v>180.18053101441265</v>
      </c>
      <c r="I30" s="67">
        <f t="shared" si="7"/>
        <v>201.44795778511792</v>
      </c>
      <c r="J30" s="67">
        <f t="shared" si="8"/>
        <v>220.67518128451502</v>
      </c>
      <c r="K30" s="67">
        <f t="shared" si="9"/>
        <v>238.35643807984817</v>
      </c>
      <c r="L30" s="67">
        <f t="shared" si="10"/>
        <v>254.81375063616844</v>
      </c>
      <c r="M30" s="67">
        <f t="shared" si="11"/>
        <v>284.89043401207647</v>
      </c>
      <c r="N30" s="67">
        <f t="shared" si="12"/>
        <v>312.0818342517025</v>
      </c>
      <c r="O30" s="68">
        <f t="shared" si="13"/>
        <v>337.08690741146415</v>
      </c>
      <c r="P30" s="299"/>
      <c r="Q30" s="51"/>
      <c r="R30" s="30">
        <f t="shared" si="14"/>
        <v>0.0003173396688</v>
      </c>
      <c r="S30" s="78">
        <f t="shared" si="15"/>
        <v>127.40687531808422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62">
        <v>6</v>
      </c>
      <c r="D31" s="72">
        <f t="shared" si="2"/>
        <v>59.21728007741943</v>
      </c>
      <c r="E31" s="67">
        <f t="shared" si="3"/>
        <v>83.74588061233266</v>
      </c>
      <c r="F31" s="67">
        <f t="shared" si="4"/>
        <v>118.43456015483886</v>
      </c>
      <c r="G31" s="67">
        <f t="shared" si="5"/>
        <v>145.05212014515752</v>
      </c>
      <c r="H31" s="67">
        <f t="shared" si="6"/>
        <v>167.4917612246653</v>
      </c>
      <c r="I31" s="67">
        <f t="shared" si="7"/>
        <v>187.26148188475753</v>
      </c>
      <c r="J31" s="67">
        <f t="shared" si="8"/>
        <v>205.1346755602534</v>
      </c>
      <c r="K31" s="67">
        <f t="shared" si="9"/>
        <v>221.57077342633778</v>
      </c>
      <c r="L31" s="67">
        <f t="shared" si="10"/>
        <v>236.86912030967773</v>
      </c>
      <c r="M31" s="67">
        <f t="shared" si="11"/>
        <v>264.8277273915077</v>
      </c>
      <c r="N31" s="67">
        <f t="shared" si="12"/>
        <v>290.10424029031503</v>
      </c>
      <c r="O31" s="68">
        <f t="shared" si="13"/>
        <v>313.3483928050231</v>
      </c>
      <c r="P31" s="299"/>
      <c r="Q31" s="51"/>
      <c r="R31" s="30">
        <f t="shared" si="14"/>
        <v>0.00034138055279999996</v>
      </c>
      <c r="S31" s="78">
        <f t="shared" si="15"/>
        <v>118.43456015483886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55.321406388115506</v>
      </c>
      <c r="E32" s="67">
        <f t="shared" si="3"/>
        <v>78.23628320362653</v>
      </c>
      <c r="F32" s="67">
        <f t="shared" si="4"/>
        <v>110.64281277623101</v>
      </c>
      <c r="G32" s="67">
        <f t="shared" si="5"/>
        <v>135.5092175040287</v>
      </c>
      <c r="H32" s="67">
        <f t="shared" si="6"/>
        <v>156.47256640725305</v>
      </c>
      <c r="I32" s="67">
        <f t="shared" si="7"/>
        <v>174.94164755023394</v>
      </c>
      <c r="J32" s="67">
        <f t="shared" si="8"/>
        <v>191.638973220763</v>
      </c>
      <c r="K32" s="67">
        <f t="shared" si="9"/>
        <v>206.99374885881548</v>
      </c>
      <c r="L32" s="67">
        <f t="shared" si="10"/>
        <v>221.28562555246202</v>
      </c>
      <c r="M32" s="67">
        <f t="shared" si="11"/>
        <v>247.40485058943477</v>
      </c>
      <c r="N32" s="67">
        <f t="shared" si="12"/>
        <v>271.0184350080574</v>
      </c>
      <c r="O32" s="68">
        <f t="shared" si="13"/>
        <v>292.73336696258724</v>
      </c>
      <c r="P32" s="299"/>
      <c r="Q32" s="51"/>
      <c r="R32" s="30">
        <f t="shared" si="14"/>
        <v>0.00036542143680000003</v>
      </c>
      <c r="S32" s="78">
        <f t="shared" si="15"/>
        <v>110.64281277623101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51.9065047592195</v>
      </c>
      <c r="E33" s="69">
        <f t="shared" si="3"/>
        <v>73.40688300587183</v>
      </c>
      <c r="F33" s="69">
        <f t="shared" si="4"/>
        <v>103.813009518439</v>
      </c>
      <c r="G33" s="69">
        <f t="shared" si="5"/>
        <v>127.14445099143437</v>
      </c>
      <c r="H33" s="69">
        <f t="shared" si="6"/>
        <v>146.81376601174367</v>
      </c>
      <c r="I33" s="69">
        <f t="shared" si="7"/>
        <v>164.1427804175035</v>
      </c>
      <c r="J33" s="69">
        <f t="shared" si="8"/>
        <v>179.8094069725678</v>
      </c>
      <c r="K33" s="69">
        <f t="shared" si="9"/>
        <v>194.2163569539504</v>
      </c>
      <c r="L33" s="69">
        <f t="shared" si="10"/>
        <v>207.626019036878</v>
      </c>
      <c r="M33" s="69">
        <f t="shared" si="11"/>
        <v>232.13294623206232</v>
      </c>
      <c r="N33" s="69">
        <f t="shared" si="12"/>
        <v>254.28890198286874</v>
      </c>
      <c r="O33" s="70">
        <f t="shared" si="13"/>
        <v>274.66340603897083</v>
      </c>
      <c r="P33" s="299"/>
      <c r="Q33" s="53"/>
      <c r="R33" s="54">
        <f t="shared" si="14"/>
        <v>0.00038946232079999993</v>
      </c>
      <c r="S33" s="106">
        <f t="shared" si="15"/>
        <v>103.813009518439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1009.062452519227</v>
      </c>
      <c r="F35" s="920"/>
      <c r="G35" s="3" t="s">
        <v>33</v>
      </c>
      <c r="H35" s="183" t="s">
        <v>280</v>
      </c>
      <c r="I35" s="606">
        <f>R18</f>
        <v>0.9</v>
      </c>
      <c r="J35" s="3" t="s">
        <v>281</v>
      </c>
      <c r="K35" s="606">
        <f>R19</f>
        <v>0.6</v>
      </c>
      <c r="L35" s="3" t="s">
        <v>282</v>
      </c>
      <c r="M35" s="606">
        <f>R20</f>
        <v>0.35</v>
      </c>
      <c r="N35" s="3" t="s">
        <v>283</v>
      </c>
      <c r="O35" s="83" t="s">
        <v>284</v>
      </c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0.4043125561628374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4.006814E-05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4.3</v>
      </c>
      <c r="M40" s="5"/>
      <c r="N40" s="5"/>
      <c r="O40" s="83"/>
      <c r="P40" s="299"/>
      <c r="Q40" s="102">
        <f>(Q38/Q39)/10</f>
        <v>1009.062452519227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9" ht="19.5" customHeight="1">
      <c r="C46" s="878"/>
      <c r="D46" s="879"/>
      <c r="E46" s="879"/>
      <c r="F46" s="880"/>
      <c r="G46" s="861" t="str">
        <f>G2</f>
        <v>PROJETO  DE  DRENAGEM</v>
      </c>
      <c r="H46" s="862"/>
      <c r="I46" s="862"/>
      <c r="J46" s="862"/>
      <c r="K46" s="862"/>
      <c r="L46" s="862"/>
      <c r="M46" s="862"/>
      <c r="N46" s="862"/>
      <c r="O46" s="863"/>
      <c r="P46" s="327"/>
      <c r="R46" s="929"/>
      <c r="S46" s="929"/>
    </row>
    <row r="47" spans="3:16" ht="19.5" customHeight="1">
      <c r="C47" s="881"/>
      <c r="D47" s="882"/>
      <c r="E47" s="882"/>
      <c r="F47" s="883"/>
      <c r="G47" s="864" t="str">
        <f>G3</f>
        <v>Rodovia: MG-314</v>
      </c>
      <c r="H47" s="865"/>
      <c r="I47" s="865"/>
      <c r="J47" s="865"/>
      <c r="K47" s="865"/>
      <c r="L47" s="865"/>
      <c r="M47" s="865"/>
      <c r="N47" s="865"/>
      <c r="O47" s="866"/>
      <c r="P47" s="327"/>
    </row>
    <row r="48" spans="3:16" ht="19.5" customHeight="1">
      <c r="C48" s="881"/>
      <c r="D48" s="882"/>
      <c r="E48" s="882"/>
      <c r="F48" s="883"/>
      <c r="G48" s="864" t="str">
        <f>G4</f>
        <v>Trecho: Entrº MG-416 (Peçanha) - LMG-744 (Coroaci)</v>
      </c>
      <c r="H48" s="865"/>
      <c r="I48" s="865"/>
      <c r="J48" s="865"/>
      <c r="K48" s="865"/>
      <c r="L48" s="865"/>
      <c r="M48" s="865"/>
      <c r="N48" s="865"/>
      <c r="O48" s="866"/>
      <c r="P48" s="327"/>
    </row>
    <row r="49" spans="3:16" ht="19.5" customHeight="1">
      <c r="C49" s="884"/>
      <c r="D49" s="885"/>
      <c r="E49" s="885"/>
      <c r="F49" s="886"/>
      <c r="G49" s="924">
        <f>G5</f>
        <v>0</v>
      </c>
      <c r="H49" s="925"/>
      <c r="I49" s="925"/>
      <c r="J49" s="925"/>
      <c r="K49" s="925"/>
      <c r="L49" s="925"/>
      <c r="M49" s="925"/>
      <c r="N49" s="925"/>
      <c r="O49" s="926"/>
      <c r="P49" s="327"/>
    </row>
    <row r="50" spans="3:16" ht="12.75">
      <c r="C50" s="8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3"/>
      <c r="P50" s="327"/>
    </row>
    <row r="51" spans="2:16" s="75" customFormat="1" ht="21" customHeight="1">
      <c r="B51" s="74"/>
      <c r="C51" s="86"/>
      <c r="D51" s="828" t="str">
        <f>D7</f>
        <v>COMPRIMENTO  CRÍTICO DE SARJETA DE CORTE</v>
      </c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90"/>
      <c r="P51" s="328"/>
    </row>
    <row r="52" spans="2:16" s="75" customFormat="1" ht="12.75" customHeight="1">
      <c r="B52" s="74"/>
      <c r="C52" s="103"/>
      <c r="D52" s="825" t="s">
        <v>52</v>
      </c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90"/>
      <c r="P52" s="328"/>
    </row>
    <row r="53" spans="3:16" ht="18.75" customHeight="1">
      <c r="C53" s="8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3"/>
      <c r="P53" s="327"/>
    </row>
    <row r="54" spans="3:16" ht="12.75">
      <c r="C54" s="82"/>
      <c r="D54" s="823" t="str">
        <f>D10</f>
        <v>TIPO:  SCC - 50/15</v>
      </c>
      <c r="E54" s="823"/>
      <c r="F54" s="823"/>
      <c r="G54" s="823"/>
      <c r="H54" s="823"/>
      <c r="I54" s="823"/>
      <c r="J54" s="823"/>
      <c r="K54" s="823"/>
      <c r="L54" s="823"/>
      <c r="M54" s="823"/>
      <c r="N54" s="5"/>
      <c r="O54" s="83"/>
      <c r="P54" s="327"/>
    </row>
    <row r="55" spans="3:16" ht="12.75">
      <c r="C55" s="82"/>
      <c r="M55" s="5"/>
      <c r="N55" s="5"/>
      <c r="O55" s="83"/>
      <c r="P55" s="327"/>
    </row>
    <row r="56" spans="3:16" ht="12.75">
      <c r="C56" s="82"/>
      <c r="D56" s="921" t="s">
        <v>24</v>
      </c>
      <c r="E56" s="921"/>
      <c r="F56" s="921"/>
      <c r="G56" s="921"/>
      <c r="H56" s="921"/>
      <c r="I56" s="921"/>
      <c r="J56" s="921"/>
      <c r="K56" s="921"/>
      <c r="L56" s="921"/>
      <c r="M56" s="921"/>
      <c r="N56" s="5"/>
      <c r="O56" s="83"/>
      <c r="P56" s="327"/>
    </row>
    <row r="57" spans="3:16" ht="15" customHeight="1">
      <c r="C57" s="87"/>
      <c r="D57" s="13"/>
      <c r="E57" s="13"/>
      <c r="F57" s="13"/>
      <c r="G57" s="13"/>
      <c r="H57" s="13"/>
      <c r="I57" s="13"/>
      <c r="O57" s="83"/>
      <c r="P57" s="327"/>
    </row>
    <row r="58" spans="3:20" ht="15" customHeight="1">
      <c r="C58" s="87" t="s">
        <v>4</v>
      </c>
      <c r="D58" s="91">
        <f>D14</f>
        <v>0.038</v>
      </c>
      <c r="E58" s="5" t="s">
        <v>8</v>
      </c>
      <c r="F58" s="12"/>
      <c r="G58" s="12"/>
      <c r="H58" s="12"/>
      <c r="I58" s="12"/>
      <c r="J58" s="810" t="s">
        <v>51</v>
      </c>
      <c r="K58" s="810"/>
      <c r="L58" s="922" t="str">
        <f>L14</f>
        <v>Governador Valadares-MG</v>
      </c>
      <c r="M58" s="922"/>
      <c r="N58" s="922"/>
      <c r="O58" s="923"/>
      <c r="P58" s="327"/>
      <c r="S58" s="932" t="s">
        <v>37</v>
      </c>
      <c r="T58" s="932"/>
    </row>
    <row r="59" spans="3:16" ht="15" customHeight="1" thickBot="1">
      <c r="C59" s="87" t="s">
        <v>5</v>
      </c>
      <c r="D59" s="91">
        <f>D15</f>
        <v>0.596</v>
      </c>
      <c r="E59" s="5" t="s">
        <v>7</v>
      </c>
      <c r="F59" s="8"/>
      <c r="G59" s="8"/>
      <c r="H59" s="8"/>
      <c r="I59" s="8"/>
      <c r="J59" s="6" t="s">
        <v>18</v>
      </c>
      <c r="K59" s="215">
        <f>K15</f>
        <v>10</v>
      </c>
      <c r="L59" s="5" t="s">
        <v>12</v>
      </c>
      <c r="M59" s="5"/>
      <c r="N59" s="5"/>
      <c r="O59" s="83"/>
      <c r="P59" s="327"/>
    </row>
    <row r="60" spans="3:23" ht="15" customHeight="1">
      <c r="C60" s="87" t="s">
        <v>6</v>
      </c>
      <c r="D60" s="91">
        <f>D58/D59</f>
        <v>0.06375838926174497</v>
      </c>
      <c r="E60" s="8" t="s">
        <v>7</v>
      </c>
      <c r="F60" s="92">
        <f>POWER($D$16,2/3)</f>
        <v>0.1595970616432253</v>
      </c>
      <c r="G60" s="8"/>
      <c r="H60" s="8"/>
      <c r="I60" s="8"/>
      <c r="J60" s="6" t="s">
        <v>17</v>
      </c>
      <c r="K60" s="215">
        <f>K16</f>
        <v>10</v>
      </c>
      <c r="L60" s="5" t="s">
        <v>13</v>
      </c>
      <c r="M60" s="5"/>
      <c r="N60" s="5"/>
      <c r="O60" s="83"/>
      <c r="P60" s="327"/>
      <c r="Q60" s="39" t="s">
        <v>15</v>
      </c>
      <c r="R60" s="306" t="s">
        <v>2</v>
      </c>
      <c r="S60" s="306" t="s">
        <v>16</v>
      </c>
      <c r="T60" s="41"/>
      <c r="U60" s="42"/>
      <c r="V60" s="42"/>
      <c r="W60" s="43"/>
    </row>
    <row r="61" spans="3:23" ht="15" customHeight="1">
      <c r="C61" s="87" t="s">
        <v>9</v>
      </c>
      <c r="D61" s="91">
        <f>'[7]BASE'!$D$17</f>
        <v>0.015</v>
      </c>
      <c r="E61" s="5"/>
      <c r="F61" s="5"/>
      <c r="G61" s="5"/>
      <c r="H61" s="5"/>
      <c r="I61" s="5"/>
      <c r="J61" s="6" t="s">
        <v>19</v>
      </c>
      <c r="K61" s="307">
        <f>K17</f>
        <v>144.13</v>
      </c>
      <c r="L61" s="8" t="s">
        <v>14</v>
      </c>
      <c r="M61" s="5"/>
      <c r="N61" s="5"/>
      <c r="O61" s="83"/>
      <c r="P61" s="327"/>
      <c r="Q61" s="329">
        <f>R61/S61</f>
        <v>1</v>
      </c>
      <c r="R61" s="330">
        <f>R17</f>
        <v>1</v>
      </c>
      <c r="S61" s="330">
        <f>S17</f>
        <v>1</v>
      </c>
      <c r="T61" s="32"/>
      <c r="U61" s="4"/>
      <c r="V61" s="35"/>
      <c r="W61" s="50"/>
    </row>
    <row r="62" spans="2:23" ht="12.75">
      <c r="B62" s="60"/>
      <c r="C62" s="184" t="s">
        <v>97</v>
      </c>
      <c r="D62" s="186">
        <f aca="true" t="shared" si="18" ref="D62:O62">D63*$D$14</f>
        <v>0.02021562780814187</v>
      </c>
      <c r="E62" s="186">
        <f t="shared" si="18"/>
        <v>0.028589215018160915</v>
      </c>
      <c r="F62" s="186">
        <f t="shared" si="18"/>
        <v>0.04043125561628374</v>
      </c>
      <c r="G62" s="186">
        <f t="shared" si="18"/>
        <v>0.049517972959965885</v>
      </c>
      <c r="H62" s="186">
        <f t="shared" si="18"/>
        <v>0.05717843003632183</v>
      </c>
      <c r="I62" s="186">
        <f t="shared" si="18"/>
        <v>0.0639274282039657</v>
      </c>
      <c r="J62" s="186">
        <f t="shared" si="18"/>
        <v>0.07002898894120796</v>
      </c>
      <c r="K62" s="186">
        <f t="shared" si="18"/>
        <v>0.07563995311660673</v>
      </c>
      <c r="L62" s="186">
        <f t="shared" si="18"/>
        <v>0.08086251123256748</v>
      </c>
      <c r="M62" s="186">
        <f t="shared" si="18"/>
        <v>0.09040703597368059</v>
      </c>
      <c r="N62" s="186">
        <f t="shared" si="18"/>
        <v>0.09903594591993177</v>
      </c>
      <c r="O62" s="187">
        <f t="shared" si="18"/>
        <v>0.10697104755477031</v>
      </c>
      <c r="P62" s="331"/>
      <c r="Q62" s="46" t="s">
        <v>139</v>
      </c>
      <c r="R62" s="311">
        <f>R18</f>
        <v>0.9</v>
      </c>
      <c r="S62" s="31"/>
      <c r="T62" s="38" t="s">
        <v>29</v>
      </c>
      <c r="U62" s="311">
        <f>2*U18</f>
        <v>8.6</v>
      </c>
      <c r="V62" s="5"/>
      <c r="W62" s="45"/>
    </row>
    <row r="63" spans="2:23" ht="12.75">
      <c r="B63" s="15"/>
      <c r="C63" s="185" t="s">
        <v>16</v>
      </c>
      <c r="D63" s="188">
        <f aca="true" t="shared" si="19" ref="D63:O63">($F$16/$D$17)*POWER(D66/100,1/2)</f>
        <v>0.5319902054774176</v>
      </c>
      <c r="E63" s="188">
        <f t="shared" si="19"/>
        <v>0.7523477636358136</v>
      </c>
      <c r="F63" s="188">
        <f t="shared" si="19"/>
        <v>1.0639804109548352</v>
      </c>
      <c r="G63" s="188">
        <f t="shared" si="19"/>
        <v>1.3031045515780497</v>
      </c>
      <c r="H63" s="188">
        <f t="shared" si="19"/>
        <v>1.5046955272716271</v>
      </c>
      <c r="I63" s="188">
        <f t="shared" si="19"/>
        <v>1.6823007422096237</v>
      </c>
      <c r="J63" s="188">
        <f t="shared" si="19"/>
        <v>1.8428681300317884</v>
      </c>
      <c r="K63" s="188">
        <f t="shared" si="19"/>
        <v>1.9905250820159668</v>
      </c>
      <c r="L63" s="188">
        <f t="shared" si="19"/>
        <v>2.1279608219096704</v>
      </c>
      <c r="M63" s="188">
        <f t="shared" si="19"/>
        <v>2.3791325256231737</v>
      </c>
      <c r="N63" s="188">
        <f t="shared" si="19"/>
        <v>2.6062091031560994</v>
      </c>
      <c r="O63" s="189">
        <f t="shared" si="19"/>
        <v>2.8150275672307976</v>
      </c>
      <c r="P63" s="332">
        <v>0.4</v>
      </c>
      <c r="Q63" s="46" t="s">
        <v>140</v>
      </c>
      <c r="R63" s="311">
        <f>R19</f>
        <v>0.6</v>
      </c>
      <c r="S63" s="31"/>
      <c r="T63" s="38" t="s">
        <v>43</v>
      </c>
      <c r="U63" s="333">
        <f>U19</f>
        <v>0</v>
      </c>
      <c r="V63" s="314"/>
      <c r="W63" s="315"/>
    </row>
    <row r="64" spans="2:23" ht="12.75">
      <c r="B64" s="22"/>
      <c r="C64" s="23" t="s">
        <v>0</v>
      </c>
      <c r="D64" s="830" t="s">
        <v>20</v>
      </c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2"/>
      <c r="P64" s="334"/>
      <c r="Q64" s="46" t="s">
        <v>141</v>
      </c>
      <c r="R64" s="311">
        <f>R20</f>
        <v>0.35</v>
      </c>
      <c r="S64" s="31"/>
      <c r="T64" s="38" t="s">
        <v>44</v>
      </c>
      <c r="U64" s="311">
        <f>U20</f>
        <v>3</v>
      </c>
      <c r="V64" s="5"/>
      <c r="W64" s="315"/>
    </row>
    <row r="65" spans="2:23" ht="12.75">
      <c r="B65" s="6"/>
      <c r="C65" s="24" t="s">
        <v>46</v>
      </c>
      <c r="D65" s="915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7"/>
      <c r="P65" s="327"/>
      <c r="Q65" s="317"/>
      <c r="R65" s="35"/>
      <c r="S65" s="35"/>
      <c r="T65" s="35"/>
      <c r="U65" s="35"/>
      <c r="V65" s="35"/>
      <c r="W65" s="318"/>
    </row>
    <row r="66" spans="2:23" ht="12.75">
      <c r="B66" s="7"/>
      <c r="C66" s="27" t="s">
        <v>47</v>
      </c>
      <c r="D66" s="918">
        <f aca="true" t="shared" si="20" ref="D66:O66">D22</f>
        <v>0.25</v>
      </c>
      <c r="E66" s="911">
        <f t="shared" si="20"/>
        <v>0.5</v>
      </c>
      <c r="F66" s="911">
        <f t="shared" si="20"/>
        <v>1</v>
      </c>
      <c r="G66" s="911">
        <f t="shared" si="20"/>
        <v>1.5</v>
      </c>
      <c r="H66" s="911">
        <f t="shared" si="20"/>
        <v>2</v>
      </c>
      <c r="I66" s="911">
        <f t="shared" si="20"/>
        <v>2.5</v>
      </c>
      <c r="J66" s="911">
        <f t="shared" si="20"/>
        <v>3</v>
      </c>
      <c r="K66" s="911">
        <f t="shared" si="20"/>
        <v>3.5</v>
      </c>
      <c r="L66" s="911">
        <f t="shared" si="20"/>
        <v>4</v>
      </c>
      <c r="M66" s="911">
        <f t="shared" si="20"/>
        <v>5</v>
      </c>
      <c r="N66" s="911">
        <f t="shared" si="20"/>
        <v>6</v>
      </c>
      <c r="O66" s="913">
        <f t="shared" si="20"/>
        <v>7</v>
      </c>
      <c r="P66" s="327"/>
      <c r="Q66" s="47" t="s">
        <v>22</v>
      </c>
      <c r="R66" s="28" t="s">
        <v>21</v>
      </c>
      <c r="S66" s="28" t="s">
        <v>23</v>
      </c>
      <c r="T66" s="320"/>
      <c r="U66" s="18"/>
      <c r="V66" s="18" t="s">
        <v>3</v>
      </c>
      <c r="W66" s="335" t="s">
        <v>35</v>
      </c>
    </row>
    <row r="67" spans="2:23" ht="12.75">
      <c r="B67" s="22"/>
      <c r="C67" s="25" t="s">
        <v>1</v>
      </c>
      <c r="D67" s="919"/>
      <c r="E67" s="912"/>
      <c r="F67" s="912"/>
      <c r="G67" s="912"/>
      <c r="H67" s="912"/>
      <c r="I67" s="912"/>
      <c r="J67" s="912"/>
      <c r="K67" s="912"/>
      <c r="L67" s="912"/>
      <c r="M67" s="912"/>
      <c r="N67" s="912"/>
      <c r="O67" s="914"/>
      <c r="P67" s="327"/>
      <c r="Q67" s="49">
        <f>($D$14*$F$16)/$D$17</f>
        <v>0.4043125561628374</v>
      </c>
      <c r="R67" s="30"/>
      <c r="S67" s="26"/>
      <c r="T67" s="36"/>
      <c r="U67" s="4"/>
      <c r="V67" s="291" t="s">
        <v>36</v>
      </c>
      <c r="W67" s="322"/>
    </row>
    <row r="68" spans="2:23" ht="18" customHeight="1">
      <c r="B68" s="22"/>
      <c r="C68" s="64">
        <f aca="true" t="shared" si="21" ref="C68:C77">C24</f>
        <v>1</v>
      </c>
      <c r="D68" s="71">
        <f aca="true" t="shared" si="22" ref="D68:D77">(($Q$23/R68)/10)*SQRT($D$22)</f>
        <v>53.73069502232305</v>
      </c>
      <c r="E68" s="65">
        <f aca="true" t="shared" si="23" ref="E68:E77">(($Q$23/R68)/10)*SQRT($E$22)</f>
        <v>75.9866776163018</v>
      </c>
      <c r="F68" s="65">
        <f aca="true" t="shared" si="24" ref="F68:F77">(($Q$23/R68)/10)*SQRT($F$22)</f>
        <v>107.4613900446461</v>
      </c>
      <c r="G68" s="65">
        <f aca="true" t="shared" si="25" ref="G68:G77">(($Q$23/R68)/10)*SQRT($G$22)</f>
        <v>131.61278632979145</v>
      </c>
      <c r="H68" s="65">
        <f aca="true" t="shared" si="26" ref="H68:H77">(($Q$23/R68)/10)*SQRT($H$22)</f>
        <v>151.9733552326036</v>
      </c>
      <c r="I68" s="65">
        <f aca="true" t="shared" si="27" ref="I68:I77">(($Q$23/R68)/10)*SQRT($I$22)</f>
        <v>169.9113765344125</v>
      </c>
      <c r="J68" s="65">
        <f aca="true" t="shared" si="28" ref="J68:J77">(($Q$23/R68)/10)*SQRT($J$22)</f>
        <v>186.12858740930338</v>
      </c>
      <c r="K68" s="65">
        <f aca="true" t="shared" si="29" ref="K68:K77">(($Q$23/R68)/10)*SQRT($K$22)</f>
        <v>201.04185192677286</v>
      </c>
      <c r="L68" s="65">
        <f aca="true" t="shared" si="30" ref="L68:L77">(($Q$23/R68)/10)*SQRT($L$22)</f>
        <v>214.9227800892922</v>
      </c>
      <c r="M68" s="65">
        <f aca="true" t="shared" si="31" ref="M68:M77">(($Q$23/R68)/10)*SQRT($M$22)</f>
        <v>240.29097309644783</v>
      </c>
      <c r="N68" s="65">
        <f aca="true" t="shared" si="32" ref="N68:N77">(($Q$23/R68)/10)*SQRT($N$22)</f>
        <v>263.2255726595829</v>
      </c>
      <c r="O68" s="66">
        <f aca="true" t="shared" si="33" ref="O68:O77">(($Q$23/R68)/10)*SQRT($O$22)</f>
        <v>284.31611359944577</v>
      </c>
      <c r="P68" s="327"/>
      <c r="Q68" s="51"/>
      <c r="R68" s="29">
        <f aca="true" t="shared" si="34" ref="R68:R77">((0.278*$K$17*POWER(10,-6)*(($R$18*$U$62)+($R$19*W68)+($R$20*$U$20))))</f>
        <v>0.0003762398346</v>
      </c>
      <c r="S68" s="33">
        <f aca="true" t="shared" si="35" ref="S68:S77">($Q$23/R68)/10</f>
        <v>107.4613900446461</v>
      </c>
      <c r="T68" s="3"/>
      <c r="U68" s="10"/>
      <c r="V68" s="52">
        <f aca="true" t="shared" si="36" ref="V68:V77">C68</f>
        <v>1</v>
      </c>
      <c r="W68" s="336">
        <f aca="true" t="shared" si="37" ref="W68:W77">$Q$17*V68</f>
        <v>1</v>
      </c>
    </row>
    <row r="69" spans="2:23" ht="18" customHeight="1">
      <c r="B69" s="15"/>
      <c r="C69" s="64">
        <f t="shared" si="21"/>
        <v>2</v>
      </c>
      <c r="D69" s="71">
        <f t="shared" si="22"/>
        <v>50.50362625221358</v>
      </c>
      <c r="E69" s="67">
        <f t="shared" si="23"/>
        <v>71.42291319490234</v>
      </c>
      <c r="F69" s="67">
        <f t="shared" si="24"/>
        <v>101.00725250442716</v>
      </c>
      <c r="G69" s="67">
        <f t="shared" si="25"/>
        <v>123.70811447815238</v>
      </c>
      <c r="H69" s="67">
        <f t="shared" si="26"/>
        <v>142.84582638980467</v>
      </c>
      <c r="I69" s="67">
        <f t="shared" si="27"/>
        <v>159.7064890548683</v>
      </c>
      <c r="J69" s="67">
        <f t="shared" si="28"/>
        <v>174.94969327060656</v>
      </c>
      <c r="K69" s="67">
        <f t="shared" si="29"/>
        <v>188.96726622546527</v>
      </c>
      <c r="L69" s="67">
        <f t="shared" si="30"/>
        <v>202.01450500885431</v>
      </c>
      <c r="M69" s="67">
        <f t="shared" si="31"/>
        <v>225.859082820385</v>
      </c>
      <c r="N69" s="67">
        <f t="shared" si="32"/>
        <v>247.41622895630476</v>
      </c>
      <c r="O69" s="68">
        <f t="shared" si="33"/>
        <v>267.2400707406203</v>
      </c>
      <c r="P69" s="327"/>
      <c r="Q69" s="51"/>
      <c r="R69" s="30">
        <f t="shared" si="34"/>
        <v>0.0004002807185999999</v>
      </c>
      <c r="S69" s="26">
        <f t="shared" si="35"/>
        <v>101.00725250442716</v>
      </c>
      <c r="T69" s="3"/>
      <c r="U69" s="10"/>
      <c r="V69" s="52">
        <f t="shared" si="36"/>
        <v>2</v>
      </c>
      <c r="W69" s="336">
        <f t="shared" si="37"/>
        <v>2</v>
      </c>
    </row>
    <row r="70" spans="2:23" ht="18" customHeight="1">
      <c r="B70" s="14"/>
      <c r="C70" s="64">
        <f t="shared" si="21"/>
        <v>2.5</v>
      </c>
      <c r="D70" s="71">
        <f t="shared" si="22"/>
        <v>49.03121732357761</v>
      </c>
      <c r="E70" s="67">
        <f t="shared" si="23"/>
        <v>69.3406125186661</v>
      </c>
      <c r="F70" s="67">
        <f t="shared" si="24"/>
        <v>98.06243464715521</v>
      </c>
      <c r="G70" s="67">
        <f t="shared" si="25"/>
        <v>120.10146391027621</v>
      </c>
      <c r="H70" s="67">
        <f t="shared" si="26"/>
        <v>138.6812250373322</v>
      </c>
      <c r="I70" s="67">
        <f t="shared" si="27"/>
        <v>155.05032319321032</v>
      </c>
      <c r="J70" s="67">
        <f t="shared" si="28"/>
        <v>169.84911912277542</v>
      </c>
      <c r="K70" s="67">
        <f t="shared" si="29"/>
        <v>183.45801648128258</v>
      </c>
      <c r="L70" s="67">
        <f t="shared" si="30"/>
        <v>196.12486929431043</v>
      </c>
      <c r="M70" s="67">
        <f t="shared" si="31"/>
        <v>219.27426991016966</v>
      </c>
      <c r="N70" s="67">
        <f t="shared" si="32"/>
        <v>240.20292782055242</v>
      </c>
      <c r="O70" s="68">
        <f t="shared" si="33"/>
        <v>259.44881503389666</v>
      </c>
      <c r="P70" s="327"/>
      <c r="Q70" s="51"/>
      <c r="R70" s="30">
        <f t="shared" si="34"/>
        <v>0.00041230116059999994</v>
      </c>
      <c r="S70" s="26">
        <f t="shared" si="35"/>
        <v>98.06243464715521</v>
      </c>
      <c r="T70" s="3"/>
      <c r="U70" s="10"/>
      <c r="V70" s="52">
        <f t="shared" si="36"/>
        <v>2.5</v>
      </c>
      <c r="W70" s="336">
        <f t="shared" si="37"/>
        <v>2.5</v>
      </c>
    </row>
    <row r="71" spans="3:23" ht="18" customHeight="1">
      <c r="C71" s="64">
        <f t="shared" si="21"/>
        <v>3</v>
      </c>
      <c r="D71" s="71">
        <f t="shared" si="22"/>
        <v>47.642230997130646</v>
      </c>
      <c r="E71" s="67">
        <f t="shared" si="23"/>
        <v>67.37628921785402</v>
      </c>
      <c r="F71" s="67">
        <f t="shared" si="24"/>
        <v>95.28446199426129</v>
      </c>
      <c r="G71" s="67">
        <f t="shared" si="25"/>
        <v>116.6991561507783</v>
      </c>
      <c r="H71" s="67">
        <f t="shared" si="26"/>
        <v>134.75257843570805</v>
      </c>
      <c r="I71" s="67">
        <f t="shared" si="27"/>
        <v>150.65796276280776</v>
      </c>
      <c r="J71" s="67">
        <f t="shared" si="28"/>
        <v>165.03752934592626</v>
      </c>
      <c r="K71" s="67">
        <f t="shared" si="29"/>
        <v>178.26090553280432</v>
      </c>
      <c r="L71" s="67">
        <f t="shared" si="30"/>
        <v>190.56892398852258</v>
      </c>
      <c r="M71" s="67">
        <f t="shared" si="31"/>
        <v>213.06253421866344</v>
      </c>
      <c r="N71" s="67">
        <f t="shared" si="32"/>
        <v>233.3983123015566</v>
      </c>
      <c r="O71" s="68">
        <f t="shared" si="33"/>
        <v>252.09899024540098</v>
      </c>
      <c r="P71" s="327"/>
      <c r="Q71" s="51"/>
      <c r="R71" s="30">
        <f t="shared" si="34"/>
        <v>0.0004243216026</v>
      </c>
      <c r="S71" s="26">
        <f t="shared" si="35"/>
        <v>95.28446199426129</v>
      </c>
      <c r="T71" s="3"/>
      <c r="U71" s="10"/>
      <c r="V71" s="52">
        <f t="shared" si="36"/>
        <v>3</v>
      </c>
      <c r="W71" s="336">
        <f t="shared" si="37"/>
        <v>3</v>
      </c>
    </row>
    <row r="72" spans="2:23" ht="18" customHeight="1">
      <c r="B72" s="14"/>
      <c r="C72" s="64">
        <f t="shared" si="21"/>
        <v>3.5</v>
      </c>
      <c r="D72" s="71">
        <f t="shared" si="22"/>
        <v>46.32977284293971</v>
      </c>
      <c r="E72" s="67">
        <f t="shared" si="23"/>
        <v>65.52019309615005</v>
      </c>
      <c r="F72" s="67">
        <f t="shared" si="24"/>
        <v>92.65954568587942</v>
      </c>
      <c r="G72" s="67">
        <f t="shared" si="25"/>
        <v>113.48430336425545</v>
      </c>
      <c r="H72" s="67">
        <f t="shared" si="26"/>
        <v>131.0403861923001</v>
      </c>
      <c r="I72" s="67">
        <f t="shared" si="27"/>
        <v>146.5076056619039</v>
      </c>
      <c r="J72" s="67">
        <f t="shared" si="28"/>
        <v>160.4910409341927</v>
      </c>
      <c r="K72" s="67">
        <f t="shared" si="29"/>
        <v>173.35013678534412</v>
      </c>
      <c r="L72" s="67">
        <f t="shared" si="30"/>
        <v>185.31909137175884</v>
      </c>
      <c r="M72" s="67">
        <f t="shared" si="31"/>
        <v>207.19304291787378</v>
      </c>
      <c r="N72" s="67">
        <f t="shared" si="32"/>
        <v>226.9686067285109</v>
      </c>
      <c r="O72" s="68">
        <f t="shared" si="33"/>
        <v>245.15411448106482</v>
      </c>
      <c r="P72" s="327"/>
      <c r="Q72" s="51"/>
      <c r="R72" s="30">
        <f t="shared" si="34"/>
        <v>0.0004363420446</v>
      </c>
      <c r="S72" s="26">
        <f t="shared" si="35"/>
        <v>92.65954568587942</v>
      </c>
      <c r="T72" s="3"/>
      <c r="U72" s="10"/>
      <c r="V72" s="52">
        <f t="shared" si="36"/>
        <v>3.5</v>
      </c>
      <c r="W72" s="336">
        <f t="shared" si="37"/>
        <v>3.5</v>
      </c>
    </row>
    <row r="73" spans="3:23" ht="18" customHeight="1">
      <c r="C73" s="64">
        <f t="shared" si="21"/>
        <v>4</v>
      </c>
      <c r="D73" s="71">
        <f t="shared" si="22"/>
        <v>45.087687780126316</v>
      </c>
      <c r="E73" s="67">
        <f t="shared" si="23"/>
        <v>63.76361955469831</v>
      </c>
      <c r="F73" s="67">
        <f t="shared" si="24"/>
        <v>90.17537556025263</v>
      </c>
      <c r="G73" s="67">
        <f t="shared" si="25"/>
        <v>110.44182874322985</v>
      </c>
      <c r="H73" s="67">
        <f t="shared" si="26"/>
        <v>127.52723910939662</v>
      </c>
      <c r="I73" s="67">
        <f t="shared" si="27"/>
        <v>142.57978781574027</v>
      </c>
      <c r="J73" s="67">
        <f t="shared" si="28"/>
        <v>156.18833206196237</v>
      </c>
      <c r="K73" s="67">
        <f t="shared" si="29"/>
        <v>168.7026800350668</v>
      </c>
      <c r="L73" s="67">
        <f t="shared" si="30"/>
        <v>180.35075112050527</v>
      </c>
      <c r="M73" s="67">
        <f t="shared" si="31"/>
        <v>201.63826964929808</v>
      </c>
      <c r="N73" s="67">
        <f t="shared" si="32"/>
        <v>220.8836574864597</v>
      </c>
      <c r="O73" s="68">
        <f t="shared" si="33"/>
        <v>238.58161811428025</v>
      </c>
      <c r="P73" s="327"/>
      <c r="Q73" s="51"/>
      <c r="R73" s="30">
        <f t="shared" si="34"/>
        <v>0.00044836248660000004</v>
      </c>
      <c r="S73" s="26">
        <f t="shared" si="35"/>
        <v>90.17537556025263</v>
      </c>
      <c r="T73" s="3"/>
      <c r="U73" s="10"/>
      <c r="V73" s="52">
        <f t="shared" si="36"/>
        <v>4</v>
      </c>
      <c r="W73" s="336">
        <f t="shared" si="37"/>
        <v>4</v>
      </c>
    </row>
    <row r="74" spans="3:23" ht="18" customHeight="1">
      <c r="C74" s="64">
        <f t="shared" si="21"/>
        <v>5</v>
      </c>
      <c r="D74" s="71">
        <f t="shared" si="22"/>
        <v>42.79314896179928</v>
      </c>
      <c r="E74" s="67">
        <f t="shared" si="23"/>
        <v>60.51865163842868</v>
      </c>
      <c r="F74" s="67">
        <f t="shared" si="24"/>
        <v>85.58629792359856</v>
      </c>
      <c r="G74" s="67">
        <f t="shared" si="25"/>
        <v>104.82137944331994</v>
      </c>
      <c r="H74" s="67">
        <f t="shared" si="26"/>
        <v>121.03730327685736</v>
      </c>
      <c r="I74" s="67">
        <f t="shared" si="27"/>
        <v>135.32381897015554</v>
      </c>
      <c r="J74" s="67">
        <f t="shared" si="28"/>
        <v>148.2398164353994</v>
      </c>
      <c r="K74" s="67">
        <f t="shared" si="29"/>
        <v>160.1173019162339</v>
      </c>
      <c r="L74" s="67">
        <f t="shared" si="30"/>
        <v>171.17259584719713</v>
      </c>
      <c r="M74" s="67">
        <f t="shared" si="31"/>
        <v>191.3767800997155</v>
      </c>
      <c r="N74" s="67">
        <f t="shared" si="32"/>
        <v>209.64275888663988</v>
      </c>
      <c r="O74" s="68">
        <f t="shared" si="33"/>
        <v>226.44005994052557</v>
      </c>
      <c r="P74" s="327"/>
      <c r="Q74" s="51"/>
      <c r="R74" s="30">
        <f t="shared" si="34"/>
        <v>0.00047240337059999994</v>
      </c>
      <c r="S74" s="26">
        <f t="shared" si="35"/>
        <v>85.58629792359856</v>
      </c>
      <c r="T74" s="3"/>
      <c r="U74" s="10"/>
      <c r="V74" s="52">
        <f t="shared" si="36"/>
        <v>5</v>
      </c>
      <c r="W74" s="336">
        <f t="shared" si="37"/>
        <v>5</v>
      </c>
    </row>
    <row r="75" spans="3:23" ht="18" customHeight="1">
      <c r="C75" s="64">
        <f t="shared" si="21"/>
        <v>6</v>
      </c>
      <c r="D75" s="71">
        <f t="shared" si="22"/>
        <v>40.72084150602207</v>
      </c>
      <c r="E75" s="67">
        <f t="shared" si="23"/>
        <v>57.587966329061665</v>
      </c>
      <c r="F75" s="67">
        <f t="shared" si="24"/>
        <v>81.44168301204414</v>
      </c>
      <c r="G75" s="67">
        <f t="shared" si="25"/>
        <v>99.74528358650055</v>
      </c>
      <c r="H75" s="67">
        <f t="shared" si="26"/>
        <v>115.17593265812333</v>
      </c>
      <c r="I75" s="67">
        <f t="shared" si="27"/>
        <v>128.7706073977509</v>
      </c>
      <c r="J75" s="67">
        <f t="shared" si="28"/>
        <v>141.06113283077954</v>
      </c>
      <c r="K75" s="67">
        <f t="shared" si="29"/>
        <v>152.36343741665837</v>
      </c>
      <c r="L75" s="67">
        <f t="shared" si="30"/>
        <v>162.88336602408828</v>
      </c>
      <c r="M75" s="67">
        <f t="shared" si="31"/>
        <v>182.10913941692053</v>
      </c>
      <c r="N75" s="67">
        <f t="shared" si="32"/>
        <v>199.4905671730011</v>
      </c>
      <c r="O75" s="68">
        <f t="shared" si="33"/>
        <v>215.47443960442257</v>
      </c>
      <c r="P75" s="327"/>
      <c r="Q75" s="51"/>
      <c r="R75" s="30">
        <f t="shared" si="34"/>
        <v>0.0004964442546</v>
      </c>
      <c r="S75" s="26">
        <f t="shared" si="35"/>
        <v>81.44168301204414</v>
      </c>
      <c r="T75" s="3"/>
      <c r="U75" s="10"/>
      <c r="V75" s="52">
        <f t="shared" si="36"/>
        <v>6</v>
      </c>
      <c r="W75" s="336">
        <f t="shared" si="37"/>
        <v>6</v>
      </c>
    </row>
    <row r="76" spans="2:23" ht="18" customHeight="1">
      <c r="B76" s="20"/>
      <c r="C76" s="64">
        <f t="shared" si="21"/>
        <v>7</v>
      </c>
      <c r="D76" s="71">
        <f t="shared" si="22"/>
        <v>38.83997122860765</v>
      </c>
      <c r="E76" s="67">
        <f t="shared" si="23"/>
        <v>54.92801407367775</v>
      </c>
      <c r="F76" s="67">
        <f t="shared" si="24"/>
        <v>77.6799424572153</v>
      </c>
      <c r="G76" s="67">
        <f t="shared" si="25"/>
        <v>95.13811113446819</v>
      </c>
      <c r="H76" s="67">
        <f t="shared" si="26"/>
        <v>109.8560281473555</v>
      </c>
      <c r="I76" s="67">
        <f t="shared" si="27"/>
        <v>122.82277333780858</v>
      </c>
      <c r="J76" s="67">
        <f t="shared" si="28"/>
        <v>134.54560706492367</v>
      </c>
      <c r="K76" s="67">
        <f t="shared" si="29"/>
        <v>145.32586524960718</v>
      </c>
      <c r="L76" s="67">
        <f t="shared" si="30"/>
        <v>155.3598849144306</v>
      </c>
      <c r="M76" s="67">
        <f t="shared" si="31"/>
        <v>173.69763182260547</v>
      </c>
      <c r="N76" s="67">
        <f t="shared" si="32"/>
        <v>190.27622226893638</v>
      </c>
      <c r="O76" s="68">
        <f t="shared" si="33"/>
        <v>205.52180959959935</v>
      </c>
      <c r="P76" s="327"/>
      <c r="Q76" s="51"/>
      <c r="R76" s="30">
        <f t="shared" si="34"/>
        <v>0.0005204851386000001</v>
      </c>
      <c r="S76" s="26">
        <f t="shared" si="35"/>
        <v>77.6799424572153</v>
      </c>
      <c r="T76" s="3"/>
      <c r="U76" s="10"/>
      <c r="V76" s="52">
        <f t="shared" si="36"/>
        <v>7</v>
      </c>
      <c r="W76" s="336">
        <f t="shared" si="37"/>
        <v>7</v>
      </c>
    </row>
    <row r="77" spans="3:23" ht="18" customHeight="1" thickBot="1">
      <c r="C77" s="64">
        <f t="shared" si="21"/>
        <v>8</v>
      </c>
      <c r="D77" s="71">
        <f t="shared" si="22"/>
        <v>37.12518221189209</v>
      </c>
      <c r="E77" s="69">
        <f t="shared" si="23"/>
        <v>52.50293618963018</v>
      </c>
      <c r="F77" s="69">
        <f t="shared" si="24"/>
        <v>74.25036442378418</v>
      </c>
      <c r="G77" s="69">
        <f t="shared" si="25"/>
        <v>90.93775302698616</v>
      </c>
      <c r="H77" s="69">
        <f t="shared" si="26"/>
        <v>105.00587237926035</v>
      </c>
      <c r="I77" s="69">
        <f t="shared" si="27"/>
        <v>117.40013433834686</v>
      </c>
      <c r="J77" s="69">
        <f t="shared" si="28"/>
        <v>128.60540366249882</v>
      </c>
      <c r="K77" s="69">
        <f t="shared" si="29"/>
        <v>138.90971225845456</v>
      </c>
      <c r="L77" s="69">
        <f t="shared" si="30"/>
        <v>148.50072884756835</v>
      </c>
      <c r="M77" s="69">
        <f t="shared" si="31"/>
        <v>166.02886220571344</v>
      </c>
      <c r="N77" s="69">
        <f t="shared" si="32"/>
        <v>181.87550605397232</v>
      </c>
      <c r="O77" s="70">
        <f t="shared" si="33"/>
        <v>196.44799902125064</v>
      </c>
      <c r="P77" s="327"/>
      <c r="Q77" s="53"/>
      <c r="R77" s="54">
        <f t="shared" si="34"/>
        <v>0.0005445260226</v>
      </c>
      <c r="S77" s="55">
        <f t="shared" si="35"/>
        <v>74.25036442378418</v>
      </c>
      <c r="T77" s="56"/>
      <c r="U77" s="57"/>
      <c r="V77" s="58">
        <f t="shared" si="36"/>
        <v>8</v>
      </c>
      <c r="W77" s="337">
        <f t="shared" si="37"/>
        <v>8</v>
      </c>
    </row>
    <row r="78" spans="2:16" ht="18" customHeight="1">
      <c r="B78" s="21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  <c r="P78" s="327"/>
    </row>
    <row r="79" spans="3:16" ht="18" customHeight="1">
      <c r="C79" s="82"/>
      <c r="D79" s="6" t="s">
        <v>31</v>
      </c>
      <c r="E79" s="920">
        <f>Q84</f>
        <v>1009.062452519227</v>
      </c>
      <c r="F79" s="920"/>
      <c r="G79" s="3" t="s">
        <v>33</v>
      </c>
      <c r="H79" s="183" t="s">
        <v>280</v>
      </c>
      <c r="I79" s="606">
        <f>R62</f>
        <v>0.9</v>
      </c>
      <c r="J79" s="3" t="s">
        <v>281</v>
      </c>
      <c r="K79" s="606">
        <f>R63</f>
        <v>0.6</v>
      </c>
      <c r="L79" s="3" t="s">
        <v>282</v>
      </c>
      <c r="M79" s="606">
        <f>R64</f>
        <v>0.35</v>
      </c>
      <c r="N79" s="3" t="s">
        <v>283</v>
      </c>
      <c r="O79" s="83" t="s">
        <v>284</v>
      </c>
      <c r="P79" s="327"/>
    </row>
    <row r="80" spans="3:21" ht="15" customHeight="1">
      <c r="C80" s="8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3"/>
      <c r="P80" s="327"/>
      <c r="T80" s="1"/>
      <c r="U80" s="1"/>
    </row>
    <row r="81" spans="3:21" ht="15" customHeight="1">
      <c r="C81" s="8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3"/>
      <c r="P81" s="327"/>
      <c r="S81" s="338"/>
      <c r="T81" s="338"/>
      <c r="U81" s="1"/>
    </row>
    <row r="82" spans="3:21" ht="15" customHeight="1">
      <c r="C82" s="82"/>
      <c r="D82" s="6" t="s">
        <v>31</v>
      </c>
      <c r="E82" s="5" t="s">
        <v>25</v>
      </c>
      <c r="F82" s="5"/>
      <c r="G82" s="5"/>
      <c r="H82" s="5"/>
      <c r="I82" s="5"/>
      <c r="J82" s="5"/>
      <c r="K82" s="5"/>
      <c r="L82" s="5"/>
      <c r="M82" s="5"/>
      <c r="N82" s="5"/>
      <c r="O82" s="83"/>
      <c r="P82" s="327"/>
      <c r="Q82" s="97">
        <f>Q67</f>
        <v>0.4043125561628374</v>
      </c>
      <c r="T82" s="1"/>
      <c r="U82" s="1"/>
    </row>
    <row r="83" spans="3:21" ht="15" customHeight="1">
      <c r="C83" s="82"/>
      <c r="D83" s="6" t="s">
        <v>32</v>
      </c>
      <c r="E83" s="5" t="s">
        <v>26</v>
      </c>
      <c r="F83" s="5"/>
      <c r="G83" s="5"/>
      <c r="H83" s="5"/>
      <c r="I83" s="5"/>
      <c r="J83" s="5"/>
      <c r="K83" s="5"/>
      <c r="L83" s="5"/>
      <c r="M83" s="5"/>
      <c r="N83" s="5"/>
      <c r="O83" s="83"/>
      <c r="P83" s="327"/>
      <c r="Q83" s="98">
        <f>((0.278*$K$61*POWER(10,-6)))</f>
        <v>4.006814E-05</v>
      </c>
      <c r="T83" s="1"/>
      <c r="U83" s="1"/>
    </row>
    <row r="84" spans="3:21" ht="15" customHeight="1">
      <c r="C84" s="82"/>
      <c r="D84" s="6" t="s">
        <v>29</v>
      </c>
      <c r="E84" s="5" t="s">
        <v>27</v>
      </c>
      <c r="F84" s="5"/>
      <c r="G84" s="5"/>
      <c r="H84" s="5"/>
      <c r="I84" s="5"/>
      <c r="J84" s="5"/>
      <c r="K84" s="5"/>
      <c r="L84" s="119">
        <f>U62</f>
        <v>8.6</v>
      </c>
      <c r="M84" s="5"/>
      <c r="N84" s="5"/>
      <c r="O84" s="83"/>
      <c r="P84" s="327"/>
      <c r="Q84" s="102">
        <f>(Q82/Q83)/10</f>
        <v>1009.062452519227</v>
      </c>
      <c r="T84" s="1"/>
      <c r="U84" s="1"/>
    </row>
    <row r="85" spans="3:21" ht="15" customHeight="1">
      <c r="C85" s="82"/>
      <c r="D85" s="6" t="s">
        <v>43</v>
      </c>
      <c r="E85" s="5" t="s">
        <v>28</v>
      </c>
      <c r="F85" s="5"/>
      <c r="G85" s="5"/>
      <c r="H85" s="5"/>
      <c r="I85" s="5"/>
      <c r="J85" s="5"/>
      <c r="K85" s="5"/>
      <c r="L85" s="9" t="s">
        <v>34</v>
      </c>
      <c r="M85" s="5"/>
      <c r="N85" s="5"/>
      <c r="O85" s="83"/>
      <c r="P85" s="327"/>
      <c r="Q85" s="99"/>
      <c r="T85" s="1"/>
      <c r="U85" s="1"/>
    </row>
    <row r="86" spans="3:21" ht="15" customHeight="1">
      <c r="C86" s="82"/>
      <c r="D86" s="6" t="s">
        <v>44</v>
      </c>
      <c r="E86" s="5" t="s">
        <v>30</v>
      </c>
      <c r="F86" s="5"/>
      <c r="G86" s="5"/>
      <c r="H86" s="5"/>
      <c r="I86" s="5"/>
      <c r="J86" s="5"/>
      <c r="K86" s="5"/>
      <c r="L86" s="119">
        <f>U64</f>
        <v>3</v>
      </c>
      <c r="M86" s="5"/>
      <c r="N86" s="5"/>
      <c r="O86" s="83"/>
      <c r="P86" s="327"/>
      <c r="Q86" s="100"/>
      <c r="T86" s="1"/>
      <c r="U86" s="1"/>
    </row>
    <row r="87" spans="3:21" ht="12.75" customHeight="1">
      <c r="C87" s="82"/>
      <c r="M87" s="5"/>
      <c r="N87" s="5"/>
      <c r="O87" s="83"/>
      <c r="P87" s="327"/>
      <c r="R87" s="101"/>
      <c r="T87" s="1"/>
      <c r="U87" s="1"/>
    </row>
    <row r="88" spans="3:21" ht="30" customHeight="1">
      <c r="C88" s="8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85"/>
      <c r="P88" s="327"/>
      <c r="T88" s="1"/>
      <c r="U88" s="1"/>
    </row>
    <row r="89" spans="3:15" ht="6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3:16" ht="19.5" customHeight="1">
      <c r="C90" s="878"/>
      <c r="D90" s="879"/>
      <c r="E90" s="879"/>
      <c r="F90" s="880"/>
      <c r="G90" s="861" t="str">
        <f>G2</f>
        <v>PROJETO  DE  DRENAGEM</v>
      </c>
      <c r="H90" s="862"/>
      <c r="I90" s="862"/>
      <c r="J90" s="862"/>
      <c r="K90" s="862"/>
      <c r="L90" s="862"/>
      <c r="M90" s="862"/>
      <c r="N90" s="862"/>
      <c r="O90" s="863"/>
      <c r="P90" s="339"/>
    </row>
    <row r="91" spans="3:16" ht="19.5" customHeight="1">
      <c r="C91" s="881"/>
      <c r="D91" s="882"/>
      <c r="E91" s="882"/>
      <c r="F91" s="883"/>
      <c r="G91" s="864" t="str">
        <f>G3</f>
        <v>Rodovia: MG-314</v>
      </c>
      <c r="H91" s="865"/>
      <c r="I91" s="865"/>
      <c r="J91" s="865"/>
      <c r="K91" s="865"/>
      <c r="L91" s="865"/>
      <c r="M91" s="865"/>
      <c r="N91" s="865"/>
      <c r="O91" s="866"/>
      <c r="P91" s="339"/>
    </row>
    <row r="92" spans="3:16" ht="19.5" customHeight="1">
      <c r="C92" s="881"/>
      <c r="D92" s="882"/>
      <c r="E92" s="882"/>
      <c r="F92" s="883"/>
      <c r="G92" s="864" t="str">
        <f>G4</f>
        <v>Trecho: Entrº MG-416 (Peçanha) - LMG-744 (Coroaci)</v>
      </c>
      <c r="H92" s="865"/>
      <c r="I92" s="865"/>
      <c r="J92" s="865"/>
      <c r="K92" s="865"/>
      <c r="L92" s="865"/>
      <c r="M92" s="865"/>
      <c r="N92" s="865"/>
      <c r="O92" s="866"/>
      <c r="P92" s="339"/>
    </row>
    <row r="93" spans="3:16" ht="19.5" customHeight="1">
      <c r="C93" s="884"/>
      <c r="D93" s="885"/>
      <c r="E93" s="885"/>
      <c r="F93" s="886"/>
      <c r="G93" s="924">
        <f>G5</f>
        <v>0</v>
      </c>
      <c r="H93" s="925"/>
      <c r="I93" s="925"/>
      <c r="J93" s="925"/>
      <c r="K93" s="925"/>
      <c r="L93" s="925"/>
      <c r="M93" s="925"/>
      <c r="N93" s="925"/>
      <c r="O93" s="926"/>
      <c r="P93" s="339"/>
    </row>
    <row r="94" spans="3:16" ht="12.75">
      <c r="C94" s="8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3"/>
      <c r="P94" s="339"/>
    </row>
    <row r="95" spans="2:16" s="75" customFormat="1" ht="21" customHeight="1">
      <c r="B95" s="74"/>
      <c r="C95" s="86"/>
      <c r="D95" s="828" t="str">
        <f>D51</f>
        <v>COMPRIMENTO  CRÍTICO DE SARJETA DE CORTE</v>
      </c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90"/>
      <c r="P95" s="340"/>
    </row>
    <row r="96" spans="2:16" s="75" customFormat="1" ht="12.75" customHeight="1">
      <c r="B96" s="74"/>
      <c r="C96" s="103"/>
      <c r="D96" s="825" t="s">
        <v>53</v>
      </c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90"/>
      <c r="P96" s="340"/>
    </row>
    <row r="97" spans="3:16" ht="18.75" customHeight="1">
      <c r="C97" s="8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3"/>
      <c r="P97" s="339"/>
    </row>
    <row r="98" spans="3:16" ht="12.75">
      <c r="C98" s="82"/>
      <c r="D98" s="823" t="str">
        <f>D54</f>
        <v>TIPO:  SCC - 50/15</v>
      </c>
      <c r="E98" s="823"/>
      <c r="F98" s="823"/>
      <c r="G98" s="823"/>
      <c r="H98" s="823"/>
      <c r="I98" s="823"/>
      <c r="J98" s="823"/>
      <c r="K98" s="823"/>
      <c r="L98" s="823"/>
      <c r="M98" s="823"/>
      <c r="N98" s="5"/>
      <c r="O98" s="83"/>
      <c r="P98" s="339"/>
    </row>
    <row r="99" spans="3:16" ht="12.75">
      <c r="C99" s="82"/>
      <c r="M99" s="5"/>
      <c r="N99" s="5"/>
      <c r="O99" s="83"/>
      <c r="P99" s="339"/>
    </row>
    <row r="100" spans="3:16" ht="12.75">
      <c r="C100" s="82"/>
      <c r="D100" s="921" t="s">
        <v>24</v>
      </c>
      <c r="E100" s="921"/>
      <c r="F100" s="921"/>
      <c r="G100" s="921"/>
      <c r="H100" s="921"/>
      <c r="I100" s="921"/>
      <c r="J100" s="921"/>
      <c r="K100" s="921"/>
      <c r="L100" s="921"/>
      <c r="M100" s="921"/>
      <c r="N100" s="5"/>
      <c r="O100" s="83"/>
      <c r="P100" s="339"/>
    </row>
    <row r="101" spans="3:16" ht="15" customHeight="1">
      <c r="C101" s="87"/>
      <c r="D101" s="13"/>
      <c r="E101" s="13"/>
      <c r="F101" s="13"/>
      <c r="G101" s="13"/>
      <c r="H101" s="13"/>
      <c r="I101" s="13"/>
      <c r="O101" s="83"/>
      <c r="P101" s="339"/>
    </row>
    <row r="102" spans="3:20" ht="15" customHeight="1">
      <c r="C102" s="87" t="s">
        <v>4</v>
      </c>
      <c r="D102" s="91">
        <f>D58</f>
        <v>0.038</v>
      </c>
      <c r="E102" s="5" t="s">
        <v>8</v>
      </c>
      <c r="F102" s="12"/>
      <c r="G102" s="12"/>
      <c r="H102" s="12"/>
      <c r="I102" s="12"/>
      <c r="J102" s="810" t="s">
        <v>51</v>
      </c>
      <c r="K102" s="810"/>
      <c r="L102" s="922" t="str">
        <f>L14</f>
        <v>Governador Valadares-MG</v>
      </c>
      <c r="M102" s="922"/>
      <c r="N102" s="922"/>
      <c r="O102" s="923"/>
      <c r="P102" s="339"/>
      <c r="S102" s="338"/>
      <c r="T102" s="338"/>
    </row>
    <row r="103" spans="3:16" ht="15" customHeight="1" thickBot="1">
      <c r="C103" s="87" t="s">
        <v>5</v>
      </c>
      <c r="D103" s="91">
        <f>D59</f>
        <v>0.596</v>
      </c>
      <c r="E103" s="5" t="s">
        <v>7</v>
      </c>
      <c r="F103" s="8"/>
      <c r="G103" s="8"/>
      <c r="H103" s="8"/>
      <c r="I103" s="8"/>
      <c r="J103" s="6" t="s">
        <v>18</v>
      </c>
      <c r="K103" s="215">
        <f>K15</f>
        <v>10</v>
      </c>
      <c r="L103" s="5" t="s">
        <v>12</v>
      </c>
      <c r="M103" s="5"/>
      <c r="N103" s="5"/>
      <c r="O103" s="83"/>
      <c r="P103" s="339"/>
    </row>
    <row r="104" spans="3:23" ht="15" customHeight="1">
      <c r="C104" s="87" t="s">
        <v>6</v>
      </c>
      <c r="D104" s="91">
        <f>D102/D103</f>
        <v>0.06375838926174497</v>
      </c>
      <c r="E104" s="8" t="s">
        <v>7</v>
      </c>
      <c r="F104" s="92">
        <f>POWER($D$16,2/3)</f>
        <v>0.1595970616432253</v>
      </c>
      <c r="G104" s="8"/>
      <c r="H104" s="8"/>
      <c r="I104" s="8"/>
      <c r="J104" s="6" t="s">
        <v>17</v>
      </c>
      <c r="K104" s="215">
        <f>K16</f>
        <v>10</v>
      </c>
      <c r="L104" s="5" t="s">
        <v>13</v>
      </c>
      <c r="M104" s="5"/>
      <c r="N104" s="5"/>
      <c r="O104" s="83"/>
      <c r="P104" s="339"/>
      <c r="Q104" s="39" t="s">
        <v>15</v>
      </c>
      <c r="R104" s="306" t="s">
        <v>2</v>
      </c>
      <c r="S104" s="306" t="s">
        <v>16</v>
      </c>
      <c r="T104" s="41"/>
      <c r="U104" s="42"/>
      <c r="V104" s="42"/>
      <c r="W104" s="43"/>
    </row>
    <row r="105" spans="3:23" ht="15" customHeight="1">
      <c r="C105" s="87" t="s">
        <v>9</v>
      </c>
      <c r="D105" s="91">
        <f>'[7]BASE'!$D$17</f>
        <v>0.015</v>
      </c>
      <c r="E105" s="5"/>
      <c r="F105" s="5"/>
      <c r="G105" s="5"/>
      <c r="H105" s="5"/>
      <c r="I105" s="5"/>
      <c r="J105" s="6" t="s">
        <v>19</v>
      </c>
      <c r="K105" s="307">
        <f>K17</f>
        <v>144.13</v>
      </c>
      <c r="L105" s="8" t="s">
        <v>14</v>
      </c>
      <c r="M105" s="5"/>
      <c r="N105" s="5"/>
      <c r="O105" s="83"/>
      <c r="P105" s="339"/>
      <c r="Q105" s="329">
        <f>R105/S105</f>
        <v>1</v>
      </c>
      <c r="R105" s="330">
        <f>R61</f>
        <v>1</v>
      </c>
      <c r="S105" s="330">
        <f>S61</f>
        <v>1</v>
      </c>
      <c r="T105" s="32"/>
      <c r="U105" s="4"/>
      <c r="V105" s="35"/>
      <c r="W105" s="50"/>
    </row>
    <row r="106" spans="2:23" ht="12.75">
      <c r="B106" s="60"/>
      <c r="C106" s="88"/>
      <c r="D106" s="34"/>
      <c r="E106" s="34"/>
      <c r="F106" s="5"/>
      <c r="G106" s="5"/>
      <c r="H106" s="5"/>
      <c r="I106" s="5"/>
      <c r="J106" s="13"/>
      <c r="K106" s="13"/>
      <c r="L106" s="13"/>
      <c r="M106" s="13"/>
      <c r="N106" s="13"/>
      <c r="O106" s="93"/>
      <c r="P106" s="341"/>
      <c r="Q106" s="46" t="s">
        <v>139</v>
      </c>
      <c r="R106" s="311">
        <f>R62</f>
        <v>0.9</v>
      </c>
      <c r="S106" s="31"/>
      <c r="T106" s="38" t="s">
        <v>29</v>
      </c>
      <c r="U106" s="311">
        <v>0</v>
      </c>
      <c r="V106" s="5"/>
      <c r="W106" s="45"/>
    </row>
    <row r="107" spans="2:23" ht="12.75">
      <c r="B107" s="15"/>
      <c r="C107" s="89"/>
      <c r="D107" s="11"/>
      <c r="E107" s="94"/>
      <c r="F107" s="5"/>
      <c r="G107" s="5"/>
      <c r="H107" s="5"/>
      <c r="I107" s="17"/>
      <c r="J107" s="16"/>
      <c r="K107" s="17"/>
      <c r="L107" s="16"/>
      <c r="M107" s="17"/>
      <c r="N107" s="10"/>
      <c r="O107" s="95"/>
      <c r="P107" s="342">
        <v>0.4</v>
      </c>
      <c r="Q107" s="46" t="s">
        <v>140</v>
      </c>
      <c r="R107" s="311">
        <f>R63</f>
        <v>0.6</v>
      </c>
      <c r="S107" s="31"/>
      <c r="T107" s="38" t="s">
        <v>43</v>
      </c>
      <c r="U107" s="333">
        <f>U63</f>
        <v>0</v>
      </c>
      <c r="V107" s="314"/>
      <c r="W107" s="315"/>
    </row>
    <row r="108" spans="2:23" ht="12.75">
      <c r="B108" s="22"/>
      <c r="C108" s="23" t="s">
        <v>0</v>
      </c>
      <c r="D108" s="830" t="s">
        <v>20</v>
      </c>
      <c r="E108" s="831"/>
      <c r="F108" s="831"/>
      <c r="G108" s="831"/>
      <c r="H108" s="831"/>
      <c r="I108" s="831"/>
      <c r="J108" s="831"/>
      <c r="K108" s="831"/>
      <c r="L108" s="831"/>
      <c r="M108" s="831"/>
      <c r="N108" s="831"/>
      <c r="O108" s="832"/>
      <c r="P108" s="343"/>
      <c r="Q108" s="46" t="s">
        <v>141</v>
      </c>
      <c r="R108" s="311">
        <f>R64</f>
        <v>0.35</v>
      </c>
      <c r="S108" s="31"/>
      <c r="T108" s="38" t="s">
        <v>44</v>
      </c>
      <c r="U108" s="311">
        <f>U64</f>
        <v>3</v>
      </c>
      <c r="V108" s="5"/>
      <c r="W108" s="315"/>
    </row>
    <row r="109" spans="2:23" ht="12.75">
      <c r="B109" s="6"/>
      <c r="C109" s="24" t="s">
        <v>46</v>
      </c>
      <c r="D109" s="915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7"/>
      <c r="P109" s="339"/>
      <c r="Q109" s="317"/>
      <c r="R109" s="35"/>
      <c r="S109" s="35"/>
      <c r="T109" s="35"/>
      <c r="U109" s="35"/>
      <c r="V109" s="35"/>
      <c r="W109" s="318"/>
    </row>
    <row r="110" spans="2:23" ht="12.75">
      <c r="B110" s="7"/>
      <c r="C110" s="27" t="s">
        <v>47</v>
      </c>
      <c r="D110" s="918">
        <f aca="true" t="shared" si="38" ref="D110:O110">D22</f>
        <v>0.25</v>
      </c>
      <c r="E110" s="911">
        <f t="shared" si="38"/>
        <v>0.5</v>
      </c>
      <c r="F110" s="911">
        <f t="shared" si="38"/>
        <v>1</v>
      </c>
      <c r="G110" s="911">
        <f t="shared" si="38"/>
        <v>1.5</v>
      </c>
      <c r="H110" s="911">
        <f t="shared" si="38"/>
        <v>2</v>
      </c>
      <c r="I110" s="911">
        <f t="shared" si="38"/>
        <v>2.5</v>
      </c>
      <c r="J110" s="911">
        <f t="shared" si="38"/>
        <v>3</v>
      </c>
      <c r="K110" s="911">
        <f t="shared" si="38"/>
        <v>3.5</v>
      </c>
      <c r="L110" s="911">
        <f t="shared" si="38"/>
        <v>4</v>
      </c>
      <c r="M110" s="911">
        <f t="shared" si="38"/>
        <v>5</v>
      </c>
      <c r="N110" s="911">
        <f t="shared" si="38"/>
        <v>6</v>
      </c>
      <c r="O110" s="913">
        <f t="shared" si="38"/>
        <v>7</v>
      </c>
      <c r="P110" s="339"/>
      <c r="Q110" s="47" t="s">
        <v>22</v>
      </c>
      <c r="R110" s="28" t="s">
        <v>21</v>
      </c>
      <c r="S110" s="28" t="s">
        <v>23</v>
      </c>
      <c r="T110" s="320"/>
      <c r="U110" s="18"/>
      <c r="V110" s="18" t="s">
        <v>3</v>
      </c>
      <c r="W110" s="335" t="s">
        <v>35</v>
      </c>
    </row>
    <row r="111" spans="2:23" ht="12.75">
      <c r="B111" s="22"/>
      <c r="C111" s="25" t="s">
        <v>1</v>
      </c>
      <c r="D111" s="919"/>
      <c r="E111" s="912"/>
      <c r="F111" s="912"/>
      <c r="G111" s="912"/>
      <c r="H111" s="912"/>
      <c r="I111" s="912"/>
      <c r="J111" s="912"/>
      <c r="K111" s="912"/>
      <c r="L111" s="912"/>
      <c r="M111" s="912"/>
      <c r="N111" s="912"/>
      <c r="O111" s="914"/>
      <c r="P111" s="339"/>
      <c r="Q111" s="49">
        <f>($D$14*$F$16)/$D$17</f>
        <v>0.4043125561628374</v>
      </c>
      <c r="R111" s="30"/>
      <c r="S111" s="26"/>
      <c r="T111" s="36"/>
      <c r="U111" s="4"/>
      <c r="V111" s="291" t="s">
        <v>36</v>
      </c>
      <c r="W111" s="322"/>
    </row>
    <row r="112" spans="2:23" ht="18" customHeight="1">
      <c r="B112" s="22"/>
      <c r="C112" s="64">
        <f aca="true" t="shared" si="39" ref="C112:C121">C24</f>
        <v>1</v>
      </c>
      <c r="D112" s="71">
        <f aca="true" t="shared" si="40" ref="D112:D121">(($Q$23/R112)/10)*SQRT($D$22)</f>
        <v>305.77650076340217</v>
      </c>
      <c r="E112" s="65">
        <f aca="true" t="shared" si="41" ref="E112:E121">(($Q$23/R112)/10)*SQRT($E$22)</f>
        <v>432.43327443459043</v>
      </c>
      <c r="F112" s="65">
        <f aca="true" t="shared" si="42" ref="F112:F121">(($Q$23/R112)/10)*SQRT($F$22)</f>
        <v>611.5530015268043</v>
      </c>
      <c r="G112" s="65">
        <f aca="true" t="shared" si="43" ref="G112:G121">(($Q$23/R112)/10)*SQRT($G$22)</f>
        <v>748.9964022040862</v>
      </c>
      <c r="H112" s="65">
        <f aca="true" t="shared" si="44" ref="H112:H121">(($Q$23/R112)/10)*SQRT($H$22)</f>
        <v>864.8665488691809</v>
      </c>
      <c r="I112" s="65">
        <f aca="true" t="shared" si="45" ref="I112:I121">(($Q$23/R112)/10)*SQRT($I$22)</f>
        <v>966.9501973685661</v>
      </c>
      <c r="J112" s="65">
        <f aca="true" t="shared" si="46" ref="J112:J121">(($Q$23/R112)/10)*SQRT($J$22)</f>
        <v>1059.2408701656723</v>
      </c>
      <c r="K112" s="65">
        <f aca="true" t="shared" si="47" ref="K112:K121">(($Q$23/R112)/10)*SQRT($K$22)</f>
        <v>1144.1109027832715</v>
      </c>
      <c r="L112" s="65">
        <f aca="true" t="shared" si="48" ref="L112:L121">(($Q$23/R112)/10)*SQRT($L$22)</f>
        <v>1223.1060030536087</v>
      </c>
      <c r="M112" s="65">
        <f aca="true" t="shared" si="49" ref="M112:M121">(($Q$23/R112)/10)*SQRT($M$22)</f>
        <v>1367.4740832579673</v>
      </c>
      <c r="N112" s="65">
        <f aca="true" t="shared" si="50" ref="N112:N121">(($Q$23/R112)/10)*SQRT($N$22)</f>
        <v>1497.9928044081723</v>
      </c>
      <c r="O112" s="66">
        <f aca="true" t="shared" si="51" ref="O112:O121">(($Q$23/R112)/10)*SQRT($O$22)</f>
        <v>1618.0171555750283</v>
      </c>
      <c r="P112" s="339"/>
      <c r="Q112" s="51"/>
      <c r="R112" s="29">
        <f aca="true" t="shared" si="52" ref="R112:R121">((0.278*$K$17*POWER(10,-6)*(($R$18*$U$106)+($R$19*W112)+($R$20*$U$20))))</f>
        <v>6.611243099999999E-05</v>
      </c>
      <c r="S112" s="165">
        <f aca="true" t="shared" si="53" ref="S112:S121">($Q$23/R112)/10</f>
        <v>611.5530015268043</v>
      </c>
      <c r="T112" s="3"/>
      <c r="U112" s="10"/>
      <c r="V112" s="52">
        <f aca="true" t="shared" si="54" ref="V112:V121">C112</f>
        <v>1</v>
      </c>
      <c r="W112" s="336">
        <f aca="true" t="shared" si="55" ref="W112:W121">$Q$17*V112</f>
        <v>1</v>
      </c>
    </row>
    <row r="113" spans="2:23" ht="18" customHeight="1">
      <c r="B113" s="15"/>
      <c r="C113" s="64">
        <f t="shared" si="39"/>
        <v>2</v>
      </c>
      <c r="D113" s="71">
        <f t="shared" si="40"/>
        <v>224.23610055982823</v>
      </c>
      <c r="E113" s="67">
        <f t="shared" si="41"/>
        <v>317.1177345853663</v>
      </c>
      <c r="F113" s="67">
        <f t="shared" si="42"/>
        <v>448.47220111965646</v>
      </c>
      <c r="G113" s="67">
        <f t="shared" si="43"/>
        <v>549.2640282829965</v>
      </c>
      <c r="H113" s="67">
        <f t="shared" si="44"/>
        <v>634.2354691707326</v>
      </c>
      <c r="I113" s="67">
        <f t="shared" si="45"/>
        <v>709.0968114036151</v>
      </c>
      <c r="J113" s="67">
        <f t="shared" si="46"/>
        <v>776.7766381214929</v>
      </c>
      <c r="K113" s="67">
        <f t="shared" si="47"/>
        <v>839.0146620410657</v>
      </c>
      <c r="L113" s="67">
        <f t="shared" si="48"/>
        <v>896.9444022393129</v>
      </c>
      <c r="M113" s="67">
        <f t="shared" si="49"/>
        <v>1002.8143277225092</v>
      </c>
      <c r="N113" s="67">
        <f t="shared" si="50"/>
        <v>1098.528056565993</v>
      </c>
      <c r="O113" s="68">
        <f t="shared" si="51"/>
        <v>1186.5459140883538</v>
      </c>
      <c r="P113" s="339"/>
      <c r="Q113" s="51"/>
      <c r="R113" s="30">
        <f t="shared" si="52"/>
        <v>9.0153315E-05</v>
      </c>
      <c r="S113" s="78">
        <f t="shared" si="53"/>
        <v>448.47220111965646</v>
      </c>
      <c r="T113" s="3"/>
      <c r="U113" s="10"/>
      <c r="V113" s="52">
        <f t="shared" si="54"/>
        <v>2</v>
      </c>
      <c r="W113" s="336">
        <f t="shared" si="55"/>
        <v>2</v>
      </c>
    </row>
    <row r="114" spans="2:23" ht="18" customHeight="1">
      <c r="B114" s="14"/>
      <c r="C114" s="64">
        <f t="shared" si="39"/>
        <v>2.5</v>
      </c>
      <c r="D114" s="71">
        <f t="shared" si="40"/>
        <v>197.85538284690728</v>
      </c>
      <c r="E114" s="67">
        <f t="shared" si="41"/>
        <v>279.8097658106173</v>
      </c>
      <c r="F114" s="67">
        <f t="shared" si="42"/>
        <v>395.71076569381455</v>
      </c>
      <c r="G114" s="67">
        <f t="shared" si="43"/>
        <v>484.6447308379381</v>
      </c>
      <c r="H114" s="67">
        <f t="shared" si="44"/>
        <v>559.6195316212346</v>
      </c>
      <c r="I114" s="67">
        <f t="shared" si="45"/>
        <v>625.6736571208369</v>
      </c>
      <c r="J114" s="67">
        <f t="shared" si="46"/>
        <v>685.3911512836702</v>
      </c>
      <c r="K114" s="67">
        <f t="shared" si="47"/>
        <v>740.3070547421167</v>
      </c>
      <c r="L114" s="67">
        <f t="shared" si="48"/>
        <v>791.4215313876291</v>
      </c>
      <c r="M114" s="67">
        <f t="shared" si="49"/>
        <v>884.8361715198611</v>
      </c>
      <c r="N114" s="67">
        <f t="shared" si="50"/>
        <v>969.2894616758762</v>
      </c>
      <c r="O114" s="68">
        <f t="shared" si="51"/>
        <v>1046.9522771367829</v>
      </c>
      <c r="P114" s="339"/>
      <c r="Q114" s="51"/>
      <c r="R114" s="30">
        <f t="shared" si="52"/>
        <v>0.000102173757</v>
      </c>
      <c r="S114" s="78">
        <f t="shared" si="53"/>
        <v>395.71076569381455</v>
      </c>
      <c r="T114" s="3"/>
      <c r="U114" s="10"/>
      <c r="V114" s="52">
        <f t="shared" si="54"/>
        <v>2.5</v>
      </c>
      <c r="W114" s="336">
        <f t="shared" si="55"/>
        <v>2.5</v>
      </c>
    </row>
    <row r="115" spans="3:23" ht="18" customHeight="1">
      <c r="C115" s="64">
        <f t="shared" si="39"/>
        <v>3</v>
      </c>
      <c r="D115" s="71">
        <f t="shared" si="40"/>
        <v>177.02850044196967</v>
      </c>
      <c r="E115" s="67">
        <f t="shared" si="41"/>
        <v>250.35610625160498</v>
      </c>
      <c r="F115" s="67">
        <f t="shared" si="42"/>
        <v>354.05700088393934</v>
      </c>
      <c r="G115" s="67">
        <f t="shared" si="43"/>
        <v>433.629496012892</v>
      </c>
      <c r="H115" s="67">
        <f t="shared" si="44"/>
        <v>500.71221250320997</v>
      </c>
      <c r="I115" s="67">
        <f t="shared" si="45"/>
        <v>559.8132721607487</v>
      </c>
      <c r="J115" s="67">
        <f t="shared" si="46"/>
        <v>613.2447143064418</v>
      </c>
      <c r="K115" s="67">
        <f t="shared" si="47"/>
        <v>662.3799963482097</v>
      </c>
      <c r="L115" s="67">
        <f t="shared" si="48"/>
        <v>708.1140017678787</v>
      </c>
      <c r="M115" s="67">
        <f t="shared" si="49"/>
        <v>791.6955218861915</v>
      </c>
      <c r="N115" s="67">
        <f t="shared" si="50"/>
        <v>867.258992025784</v>
      </c>
      <c r="O115" s="68">
        <f t="shared" si="51"/>
        <v>936.7467742802795</v>
      </c>
      <c r="P115" s="339"/>
      <c r="Q115" s="51"/>
      <c r="R115" s="30">
        <f t="shared" si="52"/>
        <v>0.00011419419899999999</v>
      </c>
      <c r="S115" s="78">
        <f t="shared" si="53"/>
        <v>354.05700088393934</v>
      </c>
      <c r="T115" s="3"/>
      <c r="U115" s="10"/>
      <c r="V115" s="52">
        <f t="shared" si="54"/>
        <v>3</v>
      </c>
      <c r="W115" s="336">
        <f t="shared" si="55"/>
        <v>3</v>
      </c>
    </row>
    <row r="116" spans="2:23" ht="18" customHeight="1">
      <c r="B116" s="14"/>
      <c r="C116" s="64">
        <f t="shared" si="39"/>
        <v>3.5</v>
      </c>
      <c r="D116" s="71">
        <f t="shared" si="40"/>
        <v>160.16864325702016</v>
      </c>
      <c r="E116" s="67">
        <f t="shared" si="41"/>
        <v>226.5126675609759</v>
      </c>
      <c r="F116" s="67">
        <f t="shared" si="42"/>
        <v>320.33728651404033</v>
      </c>
      <c r="G116" s="67">
        <f t="shared" si="43"/>
        <v>392.3314487735689</v>
      </c>
      <c r="H116" s="67">
        <f t="shared" si="44"/>
        <v>453.0253351219518</v>
      </c>
      <c r="I116" s="67">
        <f t="shared" si="45"/>
        <v>506.49772243115365</v>
      </c>
      <c r="J116" s="67">
        <f t="shared" si="46"/>
        <v>554.8404558010664</v>
      </c>
      <c r="K116" s="67">
        <f t="shared" si="47"/>
        <v>599.2961871721898</v>
      </c>
      <c r="L116" s="67">
        <f t="shared" si="48"/>
        <v>640.6745730280807</v>
      </c>
      <c r="M116" s="67">
        <f t="shared" si="49"/>
        <v>716.2959483732209</v>
      </c>
      <c r="N116" s="67">
        <f t="shared" si="50"/>
        <v>784.6628975471378</v>
      </c>
      <c r="O116" s="68">
        <f t="shared" si="51"/>
        <v>847.5327957773957</v>
      </c>
      <c r="P116" s="339"/>
      <c r="Q116" s="51"/>
      <c r="R116" s="30">
        <f t="shared" si="52"/>
        <v>0.000126214641</v>
      </c>
      <c r="S116" s="78">
        <f t="shared" si="53"/>
        <v>320.33728651404033</v>
      </c>
      <c r="T116" s="3"/>
      <c r="U116" s="10"/>
      <c r="V116" s="52">
        <f t="shared" si="54"/>
        <v>3.5</v>
      </c>
      <c r="W116" s="336">
        <f t="shared" si="55"/>
        <v>3.5</v>
      </c>
    </row>
    <row r="117" spans="3:23" ht="18" customHeight="1">
      <c r="C117" s="64">
        <f t="shared" si="39"/>
        <v>4</v>
      </c>
      <c r="D117" s="71">
        <f t="shared" si="40"/>
        <v>146.24093514771405</v>
      </c>
      <c r="E117" s="67">
        <f t="shared" si="41"/>
        <v>206.81591386002148</v>
      </c>
      <c r="F117" s="67">
        <f t="shared" si="42"/>
        <v>292.4818702954281</v>
      </c>
      <c r="G117" s="67">
        <f t="shared" si="43"/>
        <v>358.2156706193455</v>
      </c>
      <c r="H117" s="67">
        <f t="shared" si="44"/>
        <v>413.63182772004296</v>
      </c>
      <c r="I117" s="67">
        <f t="shared" si="45"/>
        <v>462.45444221974896</v>
      </c>
      <c r="J117" s="67">
        <f t="shared" si="46"/>
        <v>506.59345964445185</v>
      </c>
      <c r="K117" s="67">
        <f t="shared" si="47"/>
        <v>547.1834752441732</v>
      </c>
      <c r="L117" s="67">
        <f t="shared" si="48"/>
        <v>584.9637405908562</v>
      </c>
      <c r="M117" s="67">
        <f t="shared" si="49"/>
        <v>654.0093441668538</v>
      </c>
      <c r="N117" s="67">
        <f t="shared" si="50"/>
        <v>716.431341238691</v>
      </c>
      <c r="O117" s="68">
        <f t="shared" si="51"/>
        <v>773.8342917967525</v>
      </c>
      <c r="P117" s="339"/>
      <c r="Q117" s="51"/>
      <c r="R117" s="30">
        <f t="shared" si="52"/>
        <v>0.000138235083</v>
      </c>
      <c r="S117" s="78">
        <f t="shared" si="53"/>
        <v>292.4818702954281</v>
      </c>
      <c r="T117" s="3"/>
      <c r="U117" s="10"/>
      <c r="V117" s="52">
        <f t="shared" si="54"/>
        <v>4</v>
      </c>
      <c r="W117" s="336">
        <f t="shared" si="55"/>
        <v>4</v>
      </c>
    </row>
    <row r="118" spans="3:23" ht="18" customHeight="1">
      <c r="C118" s="64">
        <f t="shared" si="39"/>
        <v>5</v>
      </c>
      <c r="D118" s="71">
        <f t="shared" si="40"/>
        <v>124.5756114221268</v>
      </c>
      <c r="E118" s="67">
        <f t="shared" si="41"/>
        <v>176.1765192140924</v>
      </c>
      <c r="F118" s="67">
        <f t="shared" si="42"/>
        <v>249.1512228442536</v>
      </c>
      <c r="G118" s="67">
        <f t="shared" si="43"/>
        <v>305.1466823794425</v>
      </c>
      <c r="H118" s="67">
        <f t="shared" si="44"/>
        <v>352.3530384281848</v>
      </c>
      <c r="I118" s="67">
        <f t="shared" si="45"/>
        <v>393.9426730020084</v>
      </c>
      <c r="J118" s="67">
        <f t="shared" si="46"/>
        <v>431.5425767341627</v>
      </c>
      <c r="K118" s="67">
        <f t="shared" si="47"/>
        <v>466.1192566894809</v>
      </c>
      <c r="L118" s="67">
        <f t="shared" si="48"/>
        <v>498.3024456885072</v>
      </c>
      <c r="M118" s="67">
        <f t="shared" si="49"/>
        <v>557.1190709569496</v>
      </c>
      <c r="N118" s="67">
        <f t="shared" si="50"/>
        <v>610.293364758885</v>
      </c>
      <c r="O118" s="68">
        <f t="shared" si="51"/>
        <v>659.1921744935299</v>
      </c>
      <c r="P118" s="339"/>
      <c r="Q118" s="51"/>
      <c r="R118" s="30">
        <f t="shared" si="52"/>
        <v>0.00016227596699999999</v>
      </c>
      <c r="S118" s="78">
        <f t="shared" si="53"/>
        <v>249.1512228442536</v>
      </c>
      <c r="T118" s="3"/>
      <c r="U118" s="10"/>
      <c r="V118" s="52">
        <f t="shared" si="54"/>
        <v>5</v>
      </c>
      <c r="W118" s="336">
        <f t="shared" si="55"/>
        <v>5</v>
      </c>
    </row>
    <row r="119" spans="3:23" ht="18" customHeight="1">
      <c r="C119" s="64">
        <f t="shared" si="39"/>
        <v>6</v>
      </c>
      <c r="D119" s="71">
        <f t="shared" si="40"/>
        <v>108.50133898056205</v>
      </c>
      <c r="E119" s="67">
        <f t="shared" si="41"/>
        <v>153.44406512195144</v>
      </c>
      <c r="F119" s="67">
        <f t="shared" si="42"/>
        <v>217.0026779611241</v>
      </c>
      <c r="G119" s="67">
        <f t="shared" si="43"/>
        <v>265.7729169111273</v>
      </c>
      <c r="H119" s="67">
        <f t="shared" si="44"/>
        <v>306.8881302439029</v>
      </c>
      <c r="I119" s="67">
        <f t="shared" si="45"/>
        <v>343.11136035658797</v>
      </c>
      <c r="J119" s="67">
        <f t="shared" si="46"/>
        <v>375.859663607174</v>
      </c>
      <c r="K119" s="67">
        <f t="shared" si="47"/>
        <v>405.9748364714834</v>
      </c>
      <c r="L119" s="67">
        <f t="shared" si="48"/>
        <v>434.0053559222482</v>
      </c>
      <c r="M119" s="67">
        <f t="shared" si="49"/>
        <v>485.232739220569</v>
      </c>
      <c r="N119" s="67">
        <f t="shared" si="50"/>
        <v>531.5458338222546</v>
      </c>
      <c r="O119" s="68">
        <f t="shared" si="51"/>
        <v>574.1351197201712</v>
      </c>
      <c r="P119" s="339"/>
      <c r="Q119" s="51"/>
      <c r="R119" s="30">
        <f t="shared" si="52"/>
        <v>0.00018631685099999997</v>
      </c>
      <c r="S119" s="78">
        <f t="shared" si="53"/>
        <v>217.0026779611241</v>
      </c>
      <c r="T119" s="3"/>
      <c r="U119" s="10"/>
      <c r="V119" s="52">
        <f t="shared" si="54"/>
        <v>6</v>
      </c>
      <c r="W119" s="336">
        <f t="shared" si="55"/>
        <v>6</v>
      </c>
    </row>
    <row r="120" spans="2:23" ht="18" customHeight="1">
      <c r="B120" s="20"/>
      <c r="C120" s="64">
        <f t="shared" si="39"/>
        <v>7</v>
      </c>
      <c r="D120" s="71">
        <f t="shared" si="40"/>
        <v>96.10118595421208</v>
      </c>
      <c r="E120" s="67">
        <f t="shared" si="41"/>
        <v>135.90760053658553</v>
      </c>
      <c r="F120" s="67">
        <f t="shared" si="42"/>
        <v>192.20237190842417</v>
      </c>
      <c r="G120" s="67">
        <f t="shared" si="43"/>
        <v>235.3988692641413</v>
      </c>
      <c r="H120" s="67">
        <f t="shared" si="44"/>
        <v>271.81520107317107</v>
      </c>
      <c r="I120" s="67">
        <f t="shared" si="45"/>
        <v>303.89863345869213</v>
      </c>
      <c r="J120" s="67">
        <f t="shared" si="46"/>
        <v>332.90427348063974</v>
      </c>
      <c r="K120" s="67">
        <f t="shared" si="47"/>
        <v>359.5777123033138</v>
      </c>
      <c r="L120" s="67">
        <f t="shared" si="48"/>
        <v>384.40474381684834</v>
      </c>
      <c r="M120" s="67">
        <f t="shared" si="49"/>
        <v>429.7775690239325</v>
      </c>
      <c r="N120" s="67">
        <f t="shared" si="50"/>
        <v>470.7977385282826</v>
      </c>
      <c r="O120" s="68">
        <f t="shared" si="51"/>
        <v>508.5196774664373</v>
      </c>
      <c r="P120" s="339"/>
      <c r="Q120" s="51"/>
      <c r="R120" s="30">
        <f t="shared" si="52"/>
        <v>0.000210357735</v>
      </c>
      <c r="S120" s="78">
        <f t="shared" si="53"/>
        <v>192.20237190842417</v>
      </c>
      <c r="T120" s="3"/>
      <c r="U120" s="10"/>
      <c r="V120" s="52">
        <f t="shared" si="54"/>
        <v>7</v>
      </c>
      <c r="W120" s="336">
        <f t="shared" si="55"/>
        <v>7</v>
      </c>
    </row>
    <row r="121" spans="3:23" ht="18" customHeight="1" thickBot="1">
      <c r="C121" s="64">
        <f t="shared" si="39"/>
        <v>8</v>
      </c>
      <c r="D121" s="71">
        <f t="shared" si="40"/>
        <v>86.2446540614724</v>
      </c>
      <c r="E121" s="69">
        <f t="shared" si="41"/>
        <v>121.96835945591012</v>
      </c>
      <c r="F121" s="69">
        <f t="shared" si="42"/>
        <v>172.4893081229448</v>
      </c>
      <c r="G121" s="69">
        <f t="shared" si="43"/>
        <v>211.25539549346018</v>
      </c>
      <c r="H121" s="69">
        <f t="shared" si="44"/>
        <v>243.93671891182024</v>
      </c>
      <c r="I121" s="69">
        <f t="shared" si="45"/>
        <v>272.7295428475443</v>
      </c>
      <c r="J121" s="69">
        <f t="shared" si="46"/>
        <v>298.76024543134344</v>
      </c>
      <c r="K121" s="69">
        <f t="shared" si="47"/>
        <v>322.69794693887144</v>
      </c>
      <c r="L121" s="69">
        <f t="shared" si="48"/>
        <v>344.9786162458896</v>
      </c>
      <c r="M121" s="69">
        <f t="shared" si="49"/>
        <v>385.69781835481126</v>
      </c>
      <c r="N121" s="69">
        <f t="shared" si="50"/>
        <v>422.51079098692037</v>
      </c>
      <c r="O121" s="70">
        <f t="shared" si="51"/>
        <v>456.36381311090537</v>
      </c>
      <c r="P121" s="339"/>
      <c r="Q121" s="53"/>
      <c r="R121" s="54">
        <f t="shared" si="52"/>
        <v>0.000234398619</v>
      </c>
      <c r="S121" s="106">
        <f t="shared" si="53"/>
        <v>172.4893081229448</v>
      </c>
      <c r="T121" s="56"/>
      <c r="U121" s="57"/>
      <c r="V121" s="58">
        <f t="shared" si="54"/>
        <v>8</v>
      </c>
      <c r="W121" s="337">
        <f t="shared" si="55"/>
        <v>8</v>
      </c>
    </row>
    <row r="122" spans="2:16" ht="18" customHeight="1">
      <c r="B122" s="21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1"/>
      <c r="P122" s="339"/>
    </row>
    <row r="123" spans="3:16" ht="18" customHeight="1">
      <c r="C123" s="82"/>
      <c r="D123" s="6" t="s">
        <v>31</v>
      </c>
      <c r="E123" s="920">
        <f>Q128</f>
        <v>1009.062452519227</v>
      </c>
      <c r="F123" s="920"/>
      <c r="G123" s="3" t="s">
        <v>33</v>
      </c>
      <c r="H123" s="183" t="s">
        <v>280</v>
      </c>
      <c r="I123" s="606">
        <f>R106</f>
        <v>0.9</v>
      </c>
      <c r="J123" s="3" t="s">
        <v>281</v>
      </c>
      <c r="K123" s="606">
        <f>R107</f>
        <v>0.6</v>
      </c>
      <c r="L123" s="3" t="s">
        <v>282</v>
      </c>
      <c r="M123" s="606">
        <f>R108</f>
        <v>0.35</v>
      </c>
      <c r="N123" s="3" t="s">
        <v>283</v>
      </c>
      <c r="O123" s="83" t="s">
        <v>284</v>
      </c>
      <c r="P123" s="339"/>
    </row>
    <row r="124" spans="3:21" ht="15" customHeight="1">
      <c r="C124" s="8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3"/>
      <c r="P124" s="339"/>
      <c r="T124" s="1"/>
      <c r="U124" s="1"/>
    </row>
    <row r="125" spans="3:21" ht="15" customHeight="1">
      <c r="C125" s="8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3"/>
      <c r="P125" s="339"/>
      <c r="S125" s="338"/>
      <c r="T125" s="338"/>
      <c r="U125" s="1"/>
    </row>
    <row r="126" spans="3:21" ht="15" customHeight="1">
      <c r="C126" s="82"/>
      <c r="D126" s="6" t="s">
        <v>31</v>
      </c>
      <c r="E126" s="5" t="s">
        <v>25</v>
      </c>
      <c r="F126" s="5"/>
      <c r="G126" s="5"/>
      <c r="H126" s="5"/>
      <c r="I126" s="5"/>
      <c r="J126" s="5"/>
      <c r="K126" s="5"/>
      <c r="L126" s="5"/>
      <c r="M126" s="5"/>
      <c r="N126" s="5"/>
      <c r="O126" s="83"/>
      <c r="P126" s="339"/>
      <c r="Q126" s="97">
        <f>Q111</f>
        <v>0.4043125561628374</v>
      </c>
      <c r="T126" s="1"/>
      <c r="U126" s="1"/>
    </row>
    <row r="127" spans="3:21" ht="15" customHeight="1">
      <c r="C127" s="82"/>
      <c r="D127" s="6" t="s">
        <v>32</v>
      </c>
      <c r="E127" s="5" t="s">
        <v>26</v>
      </c>
      <c r="F127" s="5"/>
      <c r="G127" s="5"/>
      <c r="H127" s="5"/>
      <c r="I127" s="5"/>
      <c r="J127" s="5"/>
      <c r="K127" s="5"/>
      <c r="L127" s="5"/>
      <c r="M127" s="5"/>
      <c r="N127" s="5"/>
      <c r="O127" s="83"/>
      <c r="P127" s="339"/>
      <c r="Q127" s="98">
        <f>((0.278*$K$61*POWER(10,-6)))</f>
        <v>4.006814E-05</v>
      </c>
      <c r="T127" s="1"/>
      <c r="U127" s="1"/>
    </row>
    <row r="128" spans="3:21" ht="15" customHeight="1">
      <c r="C128" s="82"/>
      <c r="D128" s="6" t="s">
        <v>29</v>
      </c>
      <c r="E128" s="5" t="s">
        <v>27</v>
      </c>
      <c r="F128" s="5"/>
      <c r="G128" s="5"/>
      <c r="H128" s="5"/>
      <c r="I128" s="5"/>
      <c r="J128" s="5"/>
      <c r="K128" s="5"/>
      <c r="L128" s="119">
        <f>U106</f>
        <v>0</v>
      </c>
      <c r="M128" s="5"/>
      <c r="N128" s="5"/>
      <c r="O128" s="83"/>
      <c r="P128" s="339"/>
      <c r="Q128" s="102">
        <f>(Q126/Q127)/10</f>
        <v>1009.062452519227</v>
      </c>
      <c r="T128" s="1"/>
      <c r="U128" s="1"/>
    </row>
    <row r="129" spans="3:21" ht="15" customHeight="1">
      <c r="C129" s="82"/>
      <c r="D129" s="6" t="s">
        <v>43</v>
      </c>
      <c r="E129" s="5" t="s">
        <v>28</v>
      </c>
      <c r="F129" s="5"/>
      <c r="G129" s="5"/>
      <c r="H129" s="5"/>
      <c r="I129" s="5"/>
      <c r="J129" s="5"/>
      <c r="K129" s="5"/>
      <c r="L129" s="9" t="s">
        <v>34</v>
      </c>
      <c r="M129" s="5"/>
      <c r="N129" s="5"/>
      <c r="O129" s="83"/>
      <c r="P129" s="339"/>
      <c r="Q129" s="99"/>
      <c r="T129" s="1"/>
      <c r="U129" s="1"/>
    </row>
    <row r="130" spans="3:21" ht="15" customHeight="1">
      <c r="C130" s="82"/>
      <c r="D130" s="6" t="s">
        <v>44</v>
      </c>
      <c r="E130" s="5" t="s">
        <v>30</v>
      </c>
      <c r="F130" s="5"/>
      <c r="G130" s="5"/>
      <c r="H130" s="5"/>
      <c r="I130" s="5"/>
      <c r="J130" s="5"/>
      <c r="K130" s="5"/>
      <c r="L130" s="119">
        <f>U108</f>
        <v>3</v>
      </c>
      <c r="M130" s="5"/>
      <c r="N130" s="5"/>
      <c r="O130" s="83"/>
      <c r="P130" s="339"/>
      <c r="Q130" s="100"/>
      <c r="T130" s="1"/>
      <c r="U130" s="1"/>
    </row>
    <row r="131" spans="3:21" ht="12.75" customHeight="1">
      <c r="C131" s="82"/>
      <c r="M131" s="5"/>
      <c r="N131" s="5"/>
      <c r="O131" s="83"/>
      <c r="P131" s="339"/>
      <c r="R131" s="101"/>
      <c r="T131" s="1"/>
      <c r="U131" s="1"/>
    </row>
    <row r="132" spans="3:21" ht="30" customHeight="1">
      <c r="C132" s="8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85"/>
      <c r="P132" s="339"/>
      <c r="T132" s="1"/>
      <c r="U132" s="1"/>
    </row>
    <row r="133" spans="2:21" ht="9.75" customHeight="1">
      <c r="B133" s="5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121"/>
      <c r="T133" s="1"/>
      <c r="U133" s="1"/>
    </row>
  </sheetData>
  <sheetProtection/>
  <mergeCells count="77">
    <mergeCell ref="M66:M67"/>
    <mergeCell ref="N66:N67"/>
    <mergeCell ref="O66:O67"/>
    <mergeCell ref="O110:O111"/>
    <mergeCell ref="J110:J111"/>
    <mergeCell ref="K110:K111"/>
    <mergeCell ref="L110:L111"/>
    <mergeCell ref="M110:M111"/>
    <mergeCell ref="G90:O90"/>
    <mergeCell ref="G91:O91"/>
    <mergeCell ref="G66:G67"/>
    <mergeCell ref="H66:H67"/>
    <mergeCell ref="I66:I67"/>
    <mergeCell ref="J66:J67"/>
    <mergeCell ref="K66:K67"/>
    <mergeCell ref="L66:L67"/>
    <mergeCell ref="E123:F123"/>
    <mergeCell ref="D110:D111"/>
    <mergeCell ref="E110:E111"/>
    <mergeCell ref="F110:F111"/>
    <mergeCell ref="D66:D67"/>
    <mergeCell ref="E66:E67"/>
    <mergeCell ref="F66:F67"/>
    <mergeCell ref="I110:I111"/>
    <mergeCell ref="D96:N96"/>
    <mergeCell ref="D98:M98"/>
    <mergeCell ref="D100:M100"/>
    <mergeCell ref="J102:K102"/>
    <mergeCell ref="N110:N111"/>
    <mergeCell ref="D108:O109"/>
    <mergeCell ref="G110:G111"/>
    <mergeCell ref="H110:H111"/>
    <mergeCell ref="L102:O102"/>
    <mergeCell ref="G93:O93"/>
    <mergeCell ref="D95:N95"/>
    <mergeCell ref="G92:O92"/>
    <mergeCell ref="C90:F93"/>
    <mergeCell ref="D64:O65"/>
    <mergeCell ref="D52:N52"/>
    <mergeCell ref="D54:M54"/>
    <mergeCell ref="D56:M56"/>
    <mergeCell ref="J58:K58"/>
    <mergeCell ref="L58:O58"/>
    <mergeCell ref="E22:E23"/>
    <mergeCell ref="F22:F23"/>
    <mergeCell ref="E35:F35"/>
    <mergeCell ref="G48:O48"/>
    <mergeCell ref="C46:F49"/>
    <mergeCell ref="I22:I23"/>
    <mergeCell ref="G2:O2"/>
    <mergeCell ref="G3:O3"/>
    <mergeCell ref="G5:O5"/>
    <mergeCell ref="D10:M10"/>
    <mergeCell ref="D7:M7"/>
    <mergeCell ref="D8:M8"/>
    <mergeCell ref="G4:O4"/>
    <mergeCell ref="C2:F5"/>
    <mergeCell ref="D12:M12"/>
    <mergeCell ref="D20:O21"/>
    <mergeCell ref="J22:J23"/>
    <mergeCell ref="K22:K23"/>
    <mergeCell ref="L22:L23"/>
    <mergeCell ref="G22:G23"/>
    <mergeCell ref="M22:M23"/>
    <mergeCell ref="N22:N23"/>
    <mergeCell ref="J14:K14"/>
    <mergeCell ref="L14:O14"/>
    <mergeCell ref="R46:S46"/>
    <mergeCell ref="E79:F79"/>
    <mergeCell ref="H22:H23"/>
    <mergeCell ref="D51:N51"/>
    <mergeCell ref="O22:O23"/>
    <mergeCell ref="G46:O46"/>
    <mergeCell ref="G47:O47"/>
    <mergeCell ref="S58:T58"/>
    <mergeCell ref="G49:O49"/>
    <mergeCell ref="D22:D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8"/>
  <rowBreaks count="1" manualBreakCount="1">
    <brk id="44" max="255" man="1"/>
  </rowBreaks>
  <drawing r:id="rId7"/>
  <legacyDrawing r:id="rId6"/>
  <oleObjects>
    <oleObject progId="Equation.3" shapeId="136797" r:id="rId1"/>
    <oleObject progId="Equation.3" shapeId="136798" r:id="rId2"/>
    <oleObject progId="Equation.3" shapeId="136799" r:id="rId3"/>
    <oleObject progId="Equation.3" shapeId="136800" r:id="rId4"/>
    <oleObject progId="Equation.3" shapeId="136801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2.421875" style="728" customWidth="1"/>
    <col min="2" max="2" width="11.00390625" style="728" customWidth="1"/>
    <col min="3" max="12" width="7.28125" style="728" customWidth="1"/>
    <col min="13" max="13" width="4.57421875" style="729" customWidth="1"/>
    <col min="14" max="14" width="5.7109375" style="728" customWidth="1"/>
    <col min="15" max="15" width="17.28125" style="728" customWidth="1"/>
    <col min="16" max="16" width="8.140625" style="728" customWidth="1"/>
    <col min="17" max="17" width="3.8515625" style="728" customWidth="1"/>
    <col min="18" max="18" width="7.421875" style="728" customWidth="1"/>
    <col min="19" max="19" width="6.00390625" style="728" customWidth="1"/>
    <col min="20" max="20" width="7.7109375" style="728" customWidth="1"/>
    <col min="21" max="21" width="8.28125" style="728" customWidth="1"/>
    <col min="22" max="22" width="7.00390625" style="728" customWidth="1"/>
    <col min="23" max="23" width="5.140625" style="728" customWidth="1"/>
    <col min="24" max="24" width="4.57421875" style="728" customWidth="1"/>
    <col min="25" max="25" width="2.140625" style="728" customWidth="1"/>
    <col min="26" max="26" width="2.421875" style="728" customWidth="1"/>
    <col min="27" max="27" width="5.8515625" style="728" customWidth="1"/>
    <col min="28" max="28" width="1.8515625" style="728" customWidth="1"/>
    <col min="29" max="29" width="2.00390625" style="728" customWidth="1"/>
    <col min="30" max="30" width="10.57421875" style="728" customWidth="1"/>
    <col min="31" max="31" width="9.8515625" style="728" customWidth="1"/>
    <col min="32" max="16384" width="9.140625" style="728" customWidth="1"/>
  </cols>
  <sheetData>
    <row r="1" ht="5.25" customHeight="1">
      <c r="G1" s="729"/>
    </row>
    <row r="2" spans="2:17" ht="19.5" customHeight="1">
      <c r="B2" s="878"/>
      <c r="C2" s="879"/>
      <c r="D2" s="879"/>
      <c r="E2" s="880"/>
      <c r="F2" s="861" t="str">
        <f>'[10]BASE'!$G$2</f>
        <v>PROJETO   DE  DRENAGEM</v>
      </c>
      <c r="G2" s="862"/>
      <c r="H2" s="862"/>
      <c r="I2" s="862"/>
      <c r="J2" s="862"/>
      <c r="K2" s="862"/>
      <c r="L2" s="863"/>
      <c r="M2" s="190"/>
      <c r="N2" s="190"/>
      <c r="P2" s="292"/>
      <c r="Q2" s="292"/>
    </row>
    <row r="3" spans="2:17" ht="19.5" customHeight="1">
      <c r="B3" s="881"/>
      <c r="C3" s="882"/>
      <c r="D3" s="882"/>
      <c r="E3" s="883"/>
      <c r="F3" s="864" t="s">
        <v>366</v>
      </c>
      <c r="G3" s="865"/>
      <c r="H3" s="865"/>
      <c r="I3" s="865"/>
      <c r="J3" s="865"/>
      <c r="K3" s="865"/>
      <c r="L3" s="866"/>
      <c r="M3" s="190"/>
      <c r="N3" s="190"/>
      <c r="P3" s="292"/>
      <c r="Q3" s="292"/>
    </row>
    <row r="4" spans="2:29" ht="19.5" customHeight="1" thickBot="1">
      <c r="B4" s="881"/>
      <c r="C4" s="882"/>
      <c r="D4" s="882"/>
      <c r="E4" s="883"/>
      <c r="F4" s="864" t="s">
        <v>367</v>
      </c>
      <c r="G4" s="865"/>
      <c r="H4" s="865"/>
      <c r="I4" s="865"/>
      <c r="J4" s="865"/>
      <c r="K4" s="865"/>
      <c r="L4" s="866"/>
      <c r="M4" s="190"/>
      <c r="N4" s="190"/>
      <c r="O4" s="728" t="s">
        <v>61</v>
      </c>
      <c r="T4" s="133" t="s">
        <v>62</v>
      </c>
      <c r="U4" s="730" t="s">
        <v>63</v>
      </c>
      <c r="V4" s="686" t="s">
        <v>64</v>
      </c>
      <c r="W4" s="18" t="s">
        <v>33</v>
      </c>
      <c r="X4" s="731" t="s">
        <v>359</v>
      </c>
      <c r="Y4" s="732" t="s">
        <v>33</v>
      </c>
      <c r="Z4" s="138" t="s">
        <v>66</v>
      </c>
      <c r="AA4" s="733" t="s">
        <v>67</v>
      </c>
      <c r="AB4" s="734" t="s">
        <v>33</v>
      </c>
      <c r="AC4" s="141" t="s">
        <v>66</v>
      </c>
    </row>
    <row r="5" spans="2:26" ht="19.5" customHeight="1">
      <c r="B5" s="884"/>
      <c r="C5" s="885"/>
      <c r="D5" s="885"/>
      <c r="E5" s="886"/>
      <c r="F5" s="867"/>
      <c r="G5" s="868"/>
      <c r="H5" s="868"/>
      <c r="I5" s="868"/>
      <c r="J5" s="868"/>
      <c r="K5" s="868"/>
      <c r="L5" s="869"/>
      <c r="M5" s="190"/>
      <c r="N5" s="190"/>
      <c r="O5" s="735"/>
      <c r="U5" s="736"/>
      <c r="V5" s="737"/>
      <c r="W5" s="738"/>
      <c r="X5" s="895" t="s">
        <v>68</v>
      </c>
      <c r="Y5" s="895"/>
      <c r="Z5" s="896"/>
    </row>
    <row r="6" spans="2:12" ht="12.75">
      <c r="B6" s="739"/>
      <c r="C6" s="740"/>
      <c r="D6" s="740"/>
      <c r="E6" s="740"/>
      <c r="F6" s="740"/>
      <c r="G6" s="740"/>
      <c r="H6" s="740"/>
      <c r="I6" s="740"/>
      <c r="J6" s="740"/>
      <c r="K6" s="740"/>
      <c r="L6" s="741"/>
    </row>
    <row r="7" spans="2:18" s="75" customFormat="1" ht="21" customHeight="1">
      <c r="B7" s="873" t="s">
        <v>401</v>
      </c>
      <c r="C7" s="828"/>
      <c r="D7" s="828"/>
      <c r="E7" s="828"/>
      <c r="F7" s="828"/>
      <c r="G7" s="828"/>
      <c r="H7" s="828"/>
      <c r="I7" s="828"/>
      <c r="J7" s="828"/>
      <c r="K7" s="828"/>
      <c r="L7" s="829"/>
      <c r="M7" s="116"/>
      <c r="N7" s="735" t="s">
        <v>69</v>
      </c>
      <c r="O7" s="728" t="s">
        <v>70</v>
      </c>
      <c r="P7" s="728"/>
      <c r="R7" s="145" t="s">
        <v>71</v>
      </c>
    </row>
    <row r="8" spans="2:18" s="75" customFormat="1" ht="12.75" customHeight="1">
      <c r="B8" s="103"/>
      <c r="C8" s="105"/>
      <c r="D8" s="105"/>
      <c r="E8" s="105"/>
      <c r="F8" s="105"/>
      <c r="G8" s="105"/>
      <c r="H8" s="105"/>
      <c r="I8" s="105"/>
      <c r="J8" s="105"/>
      <c r="K8" s="105"/>
      <c r="L8" s="688"/>
      <c r="M8" s="117"/>
      <c r="N8" s="735" t="s">
        <v>69</v>
      </c>
      <c r="O8" s="728" t="s">
        <v>70</v>
      </c>
      <c r="P8" s="728"/>
      <c r="R8" s="145" t="s">
        <v>72</v>
      </c>
    </row>
    <row r="9" spans="2:31" ht="18.75" customHeight="1">
      <c r="B9" s="739"/>
      <c r="C9" s="729"/>
      <c r="D9" s="729"/>
      <c r="E9" s="729"/>
      <c r="F9" s="729"/>
      <c r="G9" s="729"/>
      <c r="H9" s="729"/>
      <c r="I9" s="729"/>
      <c r="J9" s="729"/>
      <c r="K9" s="729"/>
      <c r="L9" s="742"/>
      <c r="N9" s="735" t="s">
        <v>69</v>
      </c>
      <c r="O9" s="728" t="s">
        <v>70</v>
      </c>
      <c r="Q9" s="743" t="s">
        <v>73</v>
      </c>
      <c r="R9" s="840" t="s">
        <v>349</v>
      </c>
      <c r="S9" s="840"/>
      <c r="T9" s="840"/>
      <c r="U9" s="840"/>
      <c r="V9" s="840"/>
      <c r="W9" s="840"/>
      <c r="X9" s="840"/>
      <c r="Y9" s="744" t="s">
        <v>75</v>
      </c>
      <c r="Z9" s="728" t="s">
        <v>33</v>
      </c>
      <c r="AA9" s="745" t="s">
        <v>360</v>
      </c>
      <c r="AD9" s="746"/>
      <c r="AE9" s="8"/>
    </row>
    <row r="10" spans="2:31" ht="18">
      <c r="B10" s="887" t="s">
        <v>402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9"/>
      <c r="M10" s="747"/>
      <c r="N10" s="735" t="s">
        <v>69</v>
      </c>
      <c r="O10" s="728" t="s">
        <v>70</v>
      </c>
      <c r="Q10" s="743" t="s">
        <v>73</v>
      </c>
      <c r="R10" s="687" t="s">
        <v>361</v>
      </c>
      <c r="S10" s="840" t="s">
        <v>77</v>
      </c>
      <c r="T10" s="840"/>
      <c r="U10" s="840"/>
      <c r="V10" s="840"/>
      <c r="W10" s="840"/>
      <c r="X10" s="840"/>
      <c r="Y10" s="744" t="s">
        <v>75</v>
      </c>
      <c r="Z10" s="728" t="s">
        <v>33</v>
      </c>
      <c r="AA10" s="745" t="s">
        <v>360</v>
      </c>
      <c r="AD10" s="729"/>
      <c r="AE10" s="8"/>
    </row>
    <row r="11" spans="2:31" ht="18">
      <c r="B11" s="870" t="s">
        <v>369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2"/>
      <c r="M11" s="747"/>
      <c r="O11" s="748" t="s">
        <v>60</v>
      </c>
      <c r="P11" s="749" t="s">
        <v>78</v>
      </c>
      <c r="AA11" s="750" t="s">
        <v>360</v>
      </c>
      <c r="AB11" s="155"/>
      <c r="AC11" s="155"/>
      <c r="AD11" s="155" t="s">
        <v>79</v>
      </c>
      <c r="AE11" s="697"/>
    </row>
    <row r="12" spans="2:21" ht="17.25">
      <c r="B12" s="751"/>
      <c r="C12" s="902" t="s">
        <v>24</v>
      </c>
      <c r="D12" s="902"/>
      <c r="E12" s="902"/>
      <c r="F12" s="902"/>
      <c r="G12" s="902"/>
      <c r="H12" s="902"/>
      <c r="I12" s="902"/>
      <c r="J12" s="902"/>
      <c r="K12" s="902"/>
      <c r="L12" s="903"/>
      <c r="M12" s="752"/>
      <c r="S12" s="156" t="s">
        <v>80</v>
      </c>
      <c r="T12" s="690" t="s">
        <v>81</v>
      </c>
      <c r="U12" s="691"/>
    </row>
    <row r="13" spans="2:31" ht="15" customHeight="1">
      <c r="B13" s="753"/>
      <c r="C13" s="12"/>
      <c r="D13" s="12"/>
      <c r="E13" s="12"/>
      <c r="F13" s="12"/>
      <c r="G13" s="12"/>
      <c r="H13" s="12"/>
      <c r="I13" s="747"/>
      <c r="J13" s="747"/>
      <c r="K13" s="747"/>
      <c r="L13" s="754"/>
      <c r="M13" s="747"/>
      <c r="R13" s="841" t="s">
        <v>31</v>
      </c>
      <c r="S13" s="164" t="s">
        <v>362</v>
      </c>
      <c r="T13" s="157" t="s">
        <v>33</v>
      </c>
      <c r="U13" s="843" t="s">
        <v>83</v>
      </c>
      <c r="V13" s="844"/>
      <c r="W13" s="147"/>
      <c r="X13" s="897" t="s">
        <v>363</v>
      </c>
      <c r="Y13" s="897"/>
      <c r="Z13" s="897"/>
      <c r="AA13" s="755">
        <v>0.7562</v>
      </c>
      <c r="AD13" s="756"/>
      <c r="AE13" s="757"/>
    </row>
    <row r="14" spans="2:30" ht="15" customHeight="1">
      <c r="B14" s="753" t="s">
        <v>4</v>
      </c>
      <c r="C14" s="125">
        <v>0.235</v>
      </c>
      <c r="D14" s="747" t="s">
        <v>8</v>
      </c>
      <c r="E14" s="12"/>
      <c r="F14" s="12"/>
      <c r="G14" s="12"/>
      <c r="H14" s="12"/>
      <c r="I14" s="241" t="str">
        <f>'[11]BASE '!$J$14</f>
        <v>POSTO:</v>
      </c>
      <c r="J14" s="876" t="s">
        <v>370</v>
      </c>
      <c r="K14" s="876"/>
      <c r="L14" s="877"/>
      <c r="M14" s="626"/>
      <c r="P14" s="758"/>
      <c r="R14" s="842"/>
      <c r="S14" s="846" t="s">
        <v>85</v>
      </c>
      <c r="T14" s="846"/>
      <c r="U14" s="846"/>
      <c r="V14" s="160"/>
      <c r="W14" s="147"/>
      <c r="X14" s="898" t="s">
        <v>364</v>
      </c>
      <c r="Y14" s="898"/>
      <c r="Z14" s="898"/>
      <c r="AA14" s="759">
        <v>39.401</v>
      </c>
      <c r="AD14" s="166">
        <f>0.278*J17*POWER(10,-5)</f>
        <v>0.00035028000000000007</v>
      </c>
    </row>
    <row r="15" spans="2:30" ht="15" customHeight="1">
      <c r="B15" s="753" t="s">
        <v>5</v>
      </c>
      <c r="C15" s="125">
        <v>1.366</v>
      </c>
      <c r="D15" s="747" t="s">
        <v>7</v>
      </c>
      <c r="E15" s="702"/>
      <c r="F15" s="702"/>
      <c r="G15" s="702"/>
      <c r="H15" s="702"/>
      <c r="I15" s="760" t="s">
        <v>18</v>
      </c>
      <c r="J15" s="34">
        <f>'[11]BASE '!K15</f>
        <v>10</v>
      </c>
      <c r="K15" s="702" t="s">
        <v>12</v>
      </c>
      <c r="L15" s="761"/>
      <c r="M15" s="747"/>
      <c r="N15" s="762"/>
      <c r="O15" s="763"/>
      <c r="AD15" s="163">
        <f>$AA$13/$AD$14</f>
        <v>2158.8443530889567</v>
      </c>
    </row>
    <row r="16" spans="2:16" ht="15" customHeight="1">
      <c r="B16" s="753" t="s">
        <v>6</v>
      </c>
      <c r="C16" s="125">
        <f>C14/C15</f>
        <v>0.1720351390922401</v>
      </c>
      <c r="D16" s="702" t="s">
        <v>7</v>
      </c>
      <c r="E16" s="705">
        <f>POWER($C$16,2/3)</f>
        <v>0.30932245041704715</v>
      </c>
      <c r="F16" s="702"/>
      <c r="G16" s="702"/>
      <c r="H16" s="702"/>
      <c r="I16" s="760" t="s">
        <v>17</v>
      </c>
      <c r="J16" s="34">
        <f>'[11]BASE '!K16</f>
        <v>10</v>
      </c>
      <c r="K16" s="702" t="s">
        <v>13</v>
      </c>
      <c r="L16" s="761"/>
      <c r="M16" s="747"/>
      <c r="N16" s="729"/>
      <c r="O16" s="652" t="s">
        <v>335</v>
      </c>
      <c r="P16" s="125">
        <v>0.015</v>
      </c>
    </row>
    <row r="17" spans="2:16" ht="15" customHeight="1">
      <c r="B17" s="753" t="s">
        <v>9</v>
      </c>
      <c r="C17" s="125">
        <v>0.025</v>
      </c>
      <c r="D17" s="747"/>
      <c r="E17" s="747"/>
      <c r="F17" s="747"/>
      <c r="G17" s="747"/>
      <c r="H17" s="747"/>
      <c r="I17" s="760" t="s">
        <v>19</v>
      </c>
      <c r="J17" s="765">
        <v>126</v>
      </c>
      <c r="K17" s="702" t="s">
        <v>14</v>
      </c>
      <c r="L17" s="761"/>
      <c r="M17" s="747"/>
      <c r="N17" s="729"/>
      <c r="O17" s="652" t="s">
        <v>336</v>
      </c>
      <c r="P17" s="125">
        <v>0.03</v>
      </c>
    </row>
    <row r="18" spans="2:21" ht="15" customHeight="1">
      <c r="B18" s="184" t="s">
        <v>97</v>
      </c>
      <c r="C18" s="186">
        <f aca="true" t="shared" si="0" ref="C18:L18">C19*$C$14</f>
        <v>0.2907631033920243</v>
      </c>
      <c r="D18" s="186">
        <f t="shared" si="0"/>
        <v>0.41120112425469124</v>
      </c>
      <c r="E18" s="186">
        <f t="shared" si="0"/>
        <v>0.5036164680413887</v>
      </c>
      <c r="F18" s="186">
        <f t="shared" si="0"/>
        <v>0.5815262067840486</v>
      </c>
      <c r="G18" s="186">
        <f t="shared" si="0"/>
        <v>0.650166064533366</v>
      </c>
      <c r="H18" s="186">
        <f t="shared" si="0"/>
        <v>0.7122212393385682</v>
      </c>
      <c r="I18" s="186">
        <f t="shared" si="0"/>
        <v>0.7692868620086575</v>
      </c>
      <c r="J18" s="186">
        <f t="shared" si="0"/>
        <v>0.8224022485093825</v>
      </c>
      <c r="K18" s="186">
        <f t="shared" si="0"/>
        <v>0.8722893101760728</v>
      </c>
      <c r="L18" s="187">
        <f t="shared" si="0"/>
        <v>0.9194736662578272</v>
      </c>
      <c r="M18" s="169"/>
      <c r="N18" s="13"/>
      <c r="O18" s="652" t="s">
        <v>337</v>
      </c>
      <c r="P18" s="125">
        <v>0.025</v>
      </c>
      <c r="Q18" s="7" t="s">
        <v>16</v>
      </c>
      <c r="R18" s="7"/>
      <c r="S18" s="729"/>
      <c r="T18" s="729"/>
      <c r="U18" s="729"/>
    </row>
    <row r="19" spans="2:21" ht="15" customHeight="1">
      <c r="B19" s="185" t="s">
        <v>16</v>
      </c>
      <c r="C19" s="186">
        <f aca="true" t="shared" si="1" ref="C19:L19">($E$16/$C$17)*POWER(C22/100,1/2)</f>
        <v>1.2372898016681886</v>
      </c>
      <c r="D19" s="186">
        <f t="shared" si="1"/>
        <v>1.7497920181050692</v>
      </c>
      <c r="E19" s="186">
        <f t="shared" si="1"/>
        <v>2.143048800176122</v>
      </c>
      <c r="F19" s="186">
        <f t="shared" si="1"/>
        <v>2.474579603336377</v>
      </c>
      <c r="G19" s="186">
        <f t="shared" si="1"/>
        <v>2.7666641043973024</v>
      </c>
      <c r="H19" s="186">
        <f t="shared" si="1"/>
        <v>3.0307286780364606</v>
      </c>
      <c r="I19" s="186">
        <f t="shared" si="1"/>
        <v>3.2735611149304575</v>
      </c>
      <c r="J19" s="186">
        <f t="shared" si="1"/>
        <v>3.4995840362101385</v>
      </c>
      <c r="K19" s="186">
        <f t="shared" si="1"/>
        <v>3.7118694050045655</v>
      </c>
      <c r="L19" s="187">
        <f t="shared" si="1"/>
        <v>3.9126538989694777</v>
      </c>
      <c r="M19" s="764"/>
      <c r="N19" s="10"/>
      <c r="O19" s="10"/>
      <c r="P19" s="765"/>
      <c r="Q19" s="765"/>
      <c r="R19" s="169"/>
      <c r="S19" s="603"/>
      <c r="T19" s="729"/>
      <c r="U19" s="729"/>
    </row>
    <row r="20" spans="2:21" ht="12.75">
      <c r="B20" s="709" t="s">
        <v>143</v>
      </c>
      <c r="C20" s="849" t="s">
        <v>20</v>
      </c>
      <c r="D20" s="850"/>
      <c r="E20" s="850"/>
      <c r="F20" s="850"/>
      <c r="G20" s="850"/>
      <c r="H20" s="850"/>
      <c r="I20" s="850"/>
      <c r="J20" s="850"/>
      <c r="K20" s="850"/>
      <c r="L20" s="851"/>
      <c r="M20" s="710"/>
      <c r="N20" s="8"/>
      <c r="O20" s="17" t="s">
        <v>10</v>
      </c>
      <c r="P20" s="766">
        <v>0.35</v>
      </c>
      <c r="Q20" s="31"/>
      <c r="R20" s="652"/>
      <c r="S20" s="767"/>
      <c r="T20" s="729"/>
      <c r="U20" s="729"/>
    </row>
    <row r="21" spans="2:21" ht="12.75">
      <c r="B21" s="712" t="s">
        <v>341</v>
      </c>
      <c r="C21" s="852"/>
      <c r="D21" s="853"/>
      <c r="E21" s="853"/>
      <c r="F21" s="853"/>
      <c r="G21" s="853"/>
      <c r="H21" s="853"/>
      <c r="I21" s="853"/>
      <c r="J21" s="853"/>
      <c r="K21" s="853"/>
      <c r="L21" s="854"/>
      <c r="M21" s="710"/>
      <c r="O21" s="17"/>
      <c r="P21" s="302"/>
      <c r="Q21" s="31"/>
      <c r="R21" s="652"/>
      <c r="S21" s="302"/>
      <c r="T21" s="729"/>
      <c r="U21" s="729"/>
    </row>
    <row r="22" spans="2:21" ht="12.75">
      <c r="B22" s="27" t="s">
        <v>343</v>
      </c>
      <c r="C22" s="904">
        <v>1</v>
      </c>
      <c r="D22" s="900">
        <v>2</v>
      </c>
      <c r="E22" s="900">
        <v>3</v>
      </c>
      <c r="F22" s="900">
        <v>4</v>
      </c>
      <c r="G22" s="900">
        <v>5</v>
      </c>
      <c r="H22" s="900">
        <v>6</v>
      </c>
      <c r="I22" s="900">
        <v>7</v>
      </c>
      <c r="J22" s="900">
        <v>8</v>
      </c>
      <c r="K22" s="900">
        <v>9</v>
      </c>
      <c r="L22" s="906">
        <v>10</v>
      </c>
      <c r="M22" s="899"/>
      <c r="O22" s="7" t="s">
        <v>22</v>
      </c>
      <c r="P22" s="7" t="s">
        <v>21</v>
      </c>
      <c r="Q22" s="7" t="s">
        <v>23</v>
      </c>
      <c r="R22" s="34"/>
      <c r="S22" s="34"/>
      <c r="T22" s="7" t="s">
        <v>3</v>
      </c>
      <c r="U22" s="7"/>
    </row>
    <row r="23" spans="2:21" ht="12.75">
      <c r="B23" s="25" t="s">
        <v>1</v>
      </c>
      <c r="C23" s="905"/>
      <c r="D23" s="901"/>
      <c r="E23" s="901"/>
      <c r="F23" s="901"/>
      <c r="G23" s="901"/>
      <c r="H23" s="901"/>
      <c r="I23" s="901"/>
      <c r="J23" s="901"/>
      <c r="K23" s="901"/>
      <c r="L23" s="907"/>
      <c r="M23" s="899"/>
      <c r="O23" s="768">
        <f>($C$14*$E$16)/$C$17</f>
        <v>2.907631033920243</v>
      </c>
      <c r="P23" s="769"/>
      <c r="Q23" s="770"/>
      <c r="R23" s="34"/>
      <c r="S23" s="692"/>
      <c r="T23" s="7" t="s">
        <v>36</v>
      </c>
      <c r="U23" s="603"/>
    </row>
    <row r="24" spans="2:21" ht="18" customHeight="1">
      <c r="B24" s="718">
        <v>50</v>
      </c>
      <c r="C24" s="71">
        <f aca="true" t="shared" si="2" ref="C24:C33">(($O$23/P24)/10)*SQRT($C$22)</f>
        <v>474.33580220235933</v>
      </c>
      <c r="D24" s="65">
        <f aca="true" t="shared" si="3" ref="D24:D33">(($O$23/P24)/10)*SQRT($D$22)</f>
        <v>670.8121245936984</v>
      </c>
      <c r="E24" s="65">
        <f aca="true" t="shared" si="4" ref="E24:E33">(($O$23/P24)/10)*SQRT($E$22)</f>
        <v>821.5737092634276</v>
      </c>
      <c r="F24" s="65">
        <f aca="true" t="shared" si="5" ref="F24:F33">(($O$23/P24)/10)*SQRT($F$22)</f>
        <v>948.6716044047187</v>
      </c>
      <c r="G24" s="65">
        <f aca="true" t="shared" si="6" ref="G24:G33">(($O$23/P24)/10)*SQRT($G$22)</f>
        <v>1060.64709788637</v>
      </c>
      <c r="H24" s="65">
        <f aca="true" t="shared" si="7" ref="H24:H33">(($O$23/P24)/10)*SQRT($H$22)</f>
        <v>1161.8806821295095</v>
      </c>
      <c r="I24" s="65">
        <f aca="true" t="shared" si="8" ref="I24:I33">(($O$23/P24)/10)*SQRT($I$22)</f>
        <v>1254.9745705617665</v>
      </c>
      <c r="J24" s="65">
        <f aca="true" t="shared" si="9" ref="J24:J33">(($O$23/P24)/10)*SQRT($J$22)</f>
        <v>1341.6242491873968</v>
      </c>
      <c r="K24" s="65">
        <f aca="true" t="shared" si="10" ref="K24:K33">(($O$23/P24)/10)*SQRT($K$22)</f>
        <v>1423.0074066070779</v>
      </c>
      <c r="L24" s="66">
        <f aca="true" t="shared" si="11" ref="L24:L33">(($O$23/P24)/10)*SQRT($L$22)</f>
        <v>1499.9815107225681</v>
      </c>
      <c r="M24" s="654"/>
      <c r="O24" s="603"/>
      <c r="P24" s="769">
        <f aca="true" t="shared" si="12" ref="P24:P33">((0.278*$J$17*POWER(10,-6)*(($P$20*T24))))</f>
        <v>0.0006129900000000001</v>
      </c>
      <c r="Q24" s="770">
        <f aca="true" t="shared" si="13" ref="Q24:Q30">($O$23/P24)/10</f>
        <v>474.33580220235933</v>
      </c>
      <c r="R24" s="603"/>
      <c r="S24" s="10"/>
      <c r="T24" s="771">
        <f aca="true" t="shared" si="14" ref="T24:T34">B24</f>
        <v>50</v>
      </c>
      <c r="U24" s="591"/>
    </row>
    <row r="25" spans="2:21" ht="18" customHeight="1">
      <c r="B25" s="720">
        <v>100</v>
      </c>
      <c r="C25" s="72">
        <f t="shared" si="2"/>
        <v>237.16790110117967</v>
      </c>
      <c r="D25" s="67">
        <f t="shared" si="3"/>
        <v>335.4060622968492</v>
      </c>
      <c r="E25" s="67">
        <f t="shared" si="4"/>
        <v>410.7868546317138</v>
      </c>
      <c r="F25" s="67">
        <f t="shared" si="5"/>
        <v>474.33580220235933</v>
      </c>
      <c r="G25" s="67">
        <f t="shared" si="6"/>
        <v>530.323548943185</v>
      </c>
      <c r="H25" s="67">
        <f t="shared" si="7"/>
        <v>580.9403410647548</v>
      </c>
      <c r="I25" s="67">
        <f t="shared" si="8"/>
        <v>627.4872852808833</v>
      </c>
      <c r="J25" s="67">
        <f t="shared" si="9"/>
        <v>670.8121245936984</v>
      </c>
      <c r="K25" s="67">
        <f t="shared" si="10"/>
        <v>711.5037033035389</v>
      </c>
      <c r="L25" s="68">
        <f t="shared" si="11"/>
        <v>749.9907553612841</v>
      </c>
      <c r="M25" s="654"/>
      <c r="O25" s="603"/>
      <c r="P25" s="769">
        <f t="shared" si="12"/>
        <v>0.0012259800000000002</v>
      </c>
      <c r="Q25" s="770">
        <f t="shared" si="13"/>
        <v>237.16790110117967</v>
      </c>
      <c r="R25" s="603"/>
      <c r="S25" s="10"/>
      <c r="T25" s="771">
        <f t="shared" si="14"/>
        <v>100</v>
      </c>
      <c r="U25" s="591"/>
    </row>
    <row r="26" spans="2:21" ht="18" customHeight="1">
      <c r="B26" s="720">
        <v>150</v>
      </c>
      <c r="C26" s="72">
        <f t="shared" si="2"/>
        <v>158.1119340674531</v>
      </c>
      <c r="D26" s="67">
        <f t="shared" si="3"/>
        <v>223.60404153123278</v>
      </c>
      <c r="E26" s="67">
        <f t="shared" si="4"/>
        <v>273.8579030878092</v>
      </c>
      <c r="F26" s="67">
        <f t="shared" si="5"/>
        <v>316.2238681349062</v>
      </c>
      <c r="G26" s="67">
        <f t="shared" si="6"/>
        <v>353.54903262879</v>
      </c>
      <c r="H26" s="67">
        <f t="shared" si="7"/>
        <v>387.29356070983647</v>
      </c>
      <c r="I26" s="67">
        <f t="shared" si="8"/>
        <v>418.32485685392214</v>
      </c>
      <c r="J26" s="67">
        <f t="shared" si="9"/>
        <v>447.20808306246556</v>
      </c>
      <c r="K26" s="67">
        <f t="shared" si="10"/>
        <v>474.3358022023593</v>
      </c>
      <c r="L26" s="68">
        <f t="shared" si="11"/>
        <v>499.9938369075227</v>
      </c>
      <c r="M26" s="654"/>
      <c r="O26" s="603"/>
      <c r="P26" s="769">
        <f t="shared" si="12"/>
        <v>0.0018389700000000003</v>
      </c>
      <c r="Q26" s="770">
        <f t="shared" si="13"/>
        <v>158.1119340674531</v>
      </c>
      <c r="R26" s="603"/>
      <c r="S26" s="10"/>
      <c r="T26" s="771">
        <f t="shared" si="14"/>
        <v>150</v>
      </c>
      <c r="U26" s="591"/>
    </row>
    <row r="27" spans="2:21" ht="18" customHeight="1">
      <c r="B27" s="720">
        <v>200</v>
      </c>
      <c r="C27" s="72">
        <f t="shared" si="2"/>
        <v>118.58395055058983</v>
      </c>
      <c r="D27" s="67">
        <f t="shared" si="3"/>
        <v>167.7030311484246</v>
      </c>
      <c r="E27" s="67">
        <f t="shared" si="4"/>
        <v>205.3934273158569</v>
      </c>
      <c r="F27" s="67">
        <f t="shared" si="5"/>
        <v>237.16790110117967</v>
      </c>
      <c r="G27" s="67">
        <f t="shared" si="6"/>
        <v>265.1617744715925</v>
      </c>
      <c r="H27" s="67">
        <f t="shared" si="7"/>
        <v>290.4701705323774</v>
      </c>
      <c r="I27" s="67">
        <f t="shared" si="8"/>
        <v>313.74364264044164</v>
      </c>
      <c r="J27" s="67">
        <f t="shared" si="9"/>
        <v>335.4060622968492</v>
      </c>
      <c r="K27" s="67">
        <f t="shared" si="10"/>
        <v>355.75185165176947</v>
      </c>
      <c r="L27" s="68">
        <f t="shared" si="11"/>
        <v>374.99537768064204</v>
      </c>
      <c r="M27" s="654"/>
      <c r="O27" s="603"/>
      <c r="P27" s="769">
        <f t="shared" si="12"/>
        <v>0.0024519600000000004</v>
      </c>
      <c r="Q27" s="770">
        <f t="shared" si="13"/>
        <v>118.58395055058983</v>
      </c>
      <c r="R27" s="603"/>
      <c r="S27" s="10"/>
      <c r="T27" s="771">
        <f t="shared" si="14"/>
        <v>200</v>
      </c>
      <c r="U27" s="591"/>
    </row>
    <row r="28" spans="2:21" ht="18" customHeight="1">
      <c r="B28" s="720">
        <v>250</v>
      </c>
      <c r="C28" s="72">
        <f t="shared" si="2"/>
        <v>94.86716044047186</v>
      </c>
      <c r="D28" s="67">
        <f t="shared" si="3"/>
        <v>134.16242491873967</v>
      </c>
      <c r="E28" s="67">
        <f t="shared" si="4"/>
        <v>164.31474185268553</v>
      </c>
      <c r="F28" s="67">
        <f t="shared" si="5"/>
        <v>189.73432088094373</v>
      </c>
      <c r="G28" s="67">
        <f t="shared" si="6"/>
        <v>212.12941957727398</v>
      </c>
      <c r="H28" s="67">
        <f t="shared" si="7"/>
        <v>232.3761364259019</v>
      </c>
      <c r="I28" s="67">
        <f t="shared" si="8"/>
        <v>250.9949141123533</v>
      </c>
      <c r="J28" s="67">
        <f t="shared" si="9"/>
        <v>268.32484983747935</v>
      </c>
      <c r="K28" s="67">
        <f t="shared" si="10"/>
        <v>284.6014813214156</v>
      </c>
      <c r="L28" s="68">
        <f t="shared" si="11"/>
        <v>299.9963021445136</v>
      </c>
      <c r="M28" s="654"/>
      <c r="O28" s="603"/>
      <c r="P28" s="769">
        <f t="shared" si="12"/>
        <v>0.0030649500000000003</v>
      </c>
      <c r="Q28" s="770">
        <f t="shared" si="13"/>
        <v>94.86716044047186</v>
      </c>
      <c r="R28" s="603"/>
      <c r="S28" s="10"/>
      <c r="T28" s="771">
        <f t="shared" si="14"/>
        <v>250</v>
      </c>
      <c r="U28" s="591"/>
    </row>
    <row r="29" spans="2:21" ht="18" customHeight="1">
      <c r="B29" s="720">
        <v>300</v>
      </c>
      <c r="C29" s="72">
        <f t="shared" si="2"/>
        <v>79.05596703372655</v>
      </c>
      <c r="D29" s="67">
        <f t="shared" si="3"/>
        <v>111.80202076561639</v>
      </c>
      <c r="E29" s="67">
        <f t="shared" si="4"/>
        <v>136.9289515439046</v>
      </c>
      <c r="F29" s="67">
        <f t="shared" si="5"/>
        <v>158.1119340674531</v>
      </c>
      <c r="G29" s="67">
        <f t="shared" si="6"/>
        <v>176.774516314395</v>
      </c>
      <c r="H29" s="67">
        <f t="shared" si="7"/>
        <v>193.64678035491823</v>
      </c>
      <c r="I29" s="67">
        <f t="shared" si="8"/>
        <v>209.16242842696107</v>
      </c>
      <c r="J29" s="67">
        <f t="shared" si="9"/>
        <v>223.60404153123278</v>
      </c>
      <c r="K29" s="67">
        <f t="shared" si="10"/>
        <v>237.16790110117964</v>
      </c>
      <c r="L29" s="68">
        <f t="shared" si="11"/>
        <v>249.99691845376134</v>
      </c>
      <c r="M29" s="654"/>
      <c r="O29" s="603"/>
      <c r="P29" s="769">
        <f t="shared" si="12"/>
        <v>0.0036779400000000006</v>
      </c>
      <c r="Q29" s="770">
        <f t="shared" si="13"/>
        <v>79.05596703372655</v>
      </c>
      <c r="R29" s="603"/>
      <c r="S29" s="10"/>
      <c r="T29" s="771">
        <f t="shared" si="14"/>
        <v>300</v>
      </c>
      <c r="U29" s="591"/>
    </row>
    <row r="30" spans="2:21" ht="18" customHeight="1">
      <c r="B30" s="720">
        <v>400</v>
      </c>
      <c r="C30" s="72">
        <f t="shared" si="2"/>
        <v>59.29197527529492</v>
      </c>
      <c r="D30" s="67">
        <f t="shared" si="3"/>
        <v>83.8515155742123</v>
      </c>
      <c r="E30" s="67">
        <f t="shared" si="4"/>
        <v>102.69671365792846</v>
      </c>
      <c r="F30" s="67">
        <f t="shared" si="5"/>
        <v>118.58395055058983</v>
      </c>
      <c r="G30" s="67">
        <f t="shared" si="6"/>
        <v>132.58088723579624</v>
      </c>
      <c r="H30" s="67">
        <f t="shared" si="7"/>
        <v>145.2350852661887</v>
      </c>
      <c r="I30" s="67">
        <f t="shared" si="8"/>
        <v>156.87182132022082</v>
      </c>
      <c r="J30" s="67">
        <f t="shared" si="9"/>
        <v>167.7030311484246</v>
      </c>
      <c r="K30" s="67">
        <f t="shared" si="10"/>
        <v>177.87592582588474</v>
      </c>
      <c r="L30" s="68">
        <f t="shared" si="11"/>
        <v>187.49768884032102</v>
      </c>
      <c r="M30" s="654"/>
      <c r="O30" s="603"/>
      <c r="P30" s="769">
        <f t="shared" si="12"/>
        <v>0.004903920000000001</v>
      </c>
      <c r="Q30" s="770">
        <f t="shared" si="13"/>
        <v>59.29197527529492</v>
      </c>
      <c r="R30" s="603"/>
      <c r="S30" s="10"/>
      <c r="T30" s="771">
        <f t="shared" si="14"/>
        <v>400</v>
      </c>
      <c r="U30" s="591"/>
    </row>
    <row r="31" spans="2:21" ht="18" customHeight="1">
      <c r="B31" s="720">
        <v>500</v>
      </c>
      <c r="C31" s="72">
        <f t="shared" si="2"/>
        <v>47.43358022023593</v>
      </c>
      <c r="D31" s="67">
        <f t="shared" si="3"/>
        <v>67.08121245936984</v>
      </c>
      <c r="E31" s="67">
        <f t="shared" si="4"/>
        <v>82.15737092634276</v>
      </c>
      <c r="F31" s="67">
        <f t="shared" si="5"/>
        <v>94.86716044047186</v>
      </c>
      <c r="G31" s="67">
        <f t="shared" si="6"/>
        <v>106.06470978863699</v>
      </c>
      <c r="H31" s="67">
        <f t="shared" si="7"/>
        <v>116.18806821295095</v>
      </c>
      <c r="I31" s="67">
        <f t="shared" si="8"/>
        <v>125.49745705617666</v>
      </c>
      <c r="J31" s="67">
        <f t="shared" si="9"/>
        <v>134.16242491873967</v>
      </c>
      <c r="K31" s="67">
        <f t="shared" si="10"/>
        <v>142.3007406607078</v>
      </c>
      <c r="L31" s="68">
        <f t="shared" si="11"/>
        <v>149.9981510722568</v>
      </c>
      <c r="M31" s="654"/>
      <c r="O31" s="603"/>
      <c r="P31" s="769">
        <f t="shared" si="12"/>
        <v>0.006129900000000001</v>
      </c>
      <c r="Q31" s="770"/>
      <c r="R31" s="603"/>
      <c r="S31" s="10"/>
      <c r="T31" s="771">
        <f t="shared" si="14"/>
        <v>500</v>
      </c>
      <c r="U31" s="591"/>
    </row>
    <row r="32" spans="2:21" ht="18" customHeight="1">
      <c r="B32" s="720">
        <v>750</v>
      </c>
      <c r="C32" s="72">
        <f t="shared" si="2"/>
        <v>31.622386813490625</v>
      </c>
      <c r="D32" s="67">
        <f t="shared" si="3"/>
        <v>44.72080830624657</v>
      </c>
      <c r="E32" s="67">
        <f t="shared" si="4"/>
        <v>54.77158061756185</v>
      </c>
      <c r="F32" s="67">
        <f t="shared" si="5"/>
        <v>63.24477362698125</v>
      </c>
      <c r="G32" s="67">
        <f t="shared" si="6"/>
        <v>70.709806525758</v>
      </c>
      <c r="H32" s="67">
        <f t="shared" si="7"/>
        <v>77.45871214196731</v>
      </c>
      <c r="I32" s="67">
        <f t="shared" si="8"/>
        <v>83.66497137078444</v>
      </c>
      <c r="J32" s="67">
        <f t="shared" si="9"/>
        <v>89.44161661249314</v>
      </c>
      <c r="K32" s="67">
        <f t="shared" si="10"/>
        <v>94.86716044047188</v>
      </c>
      <c r="L32" s="68">
        <f t="shared" si="11"/>
        <v>99.99876738150455</v>
      </c>
      <c r="M32" s="654"/>
      <c r="O32" s="603"/>
      <c r="P32" s="769">
        <f t="shared" si="12"/>
        <v>0.009194850000000001</v>
      </c>
      <c r="Q32" s="770"/>
      <c r="R32" s="603"/>
      <c r="S32" s="10"/>
      <c r="T32" s="771">
        <f t="shared" si="14"/>
        <v>750</v>
      </c>
      <c r="U32" s="591"/>
    </row>
    <row r="33" spans="1:21" ht="18" customHeight="1">
      <c r="A33" s="772"/>
      <c r="B33" s="722">
        <v>1000</v>
      </c>
      <c r="C33" s="72">
        <f t="shared" si="2"/>
        <v>23.716790110117966</v>
      </c>
      <c r="D33" s="67">
        <f t="shared" si="3"/>
        <v>33.54060622968492</v>
      </c>
      <c r="E33" s="67">
        <f t="shared" si="4"/>
        <v>41.07868546317138</v>
      </c>
      <c r="F33" s="67">
        <f t="shared" si="5"/>
        <v>47.43358022023593</v>
      </c>
      <c r="G33" s="67">
        <f t="shared" si="6"/>
        <v>53.032354894318495</v>
      </c>
      <c r="H33" s="67">
        <f t="shared" si="7"/>
        <v>58.094034106475476</v>
      </c>
      <c r="I33" s="67">
        <f t="shared" si="8"/>
        <v>62.74872852808833</v>
      </c>
      <c r="J33" s="67">
        <f t="shared" si="9"/>
        <v>67.08121245936984</v>
      </c>
      <c r="K33" s="67">
        <f t="shared" si="10"/>
        <v>71.1503703303539</v>
      </c>
      <c r="L33" s="68">
        <f t="shared" si="11"/>
        <v>74.9990755361284</v>
      </c>
      <c r="M33" s="654"/>
      <c r="N33" s="772"/>
      <c r="O33" s="34"/>
      <c r="P33" s="769">
        <f t="shared" si="12"/>
        <v>0.012259800000000001</v>
      </c>
      <c r="Q33" s="770">
        <f>($O$23/P33)/10</f>
        <v>23.716790110117966</v>
      </c>
      <c r="R33" s="34"/>
      <c r="S33" s="10"/>
      <c r="T33" s="771">
        <f t="shared" si="14"/>
        <v>1000</v>
      </c>
      <c r="U33" s="169"/>
    </row>
    <row r="34" spans="2:20" ht="18" customHeight="1">
      <c r="B34" s="773"/>
      <c r="C34" s="740"/>
      <c r="D34" s="740"/>
      <c r="E34" s="740"/>
      <c r="F34" s="740"/>
      <c r="G34" s="740"/>
      <c r="H34" s="740"/>
      <c r="I34" s="740"/>
      <c r="J34" s="740"/>
      <c r="K34" s="740"/>
      <c r="L34" s="741"/>
      <c r="Q34" s="192"/>
      <c r="T34" s="771">
        <f t="shared" si="14"/>
        <v>0</v>
      </c>
    </row>
    <row r="35" spans="2:12" ht="18" customHeight="1">
      <c r="B35" s="739"/>
      <c r="C35" s="17" t="s">
        <v>31</v>
      </c>
      <c r="D35" s="890">
        <f>O40</f>
        <v>8300.876538541288</v>
      </c>
      <c r="E35" s="890"/>
      <c r="F35" s="7" t="s">
        <v>33</v>
      </c>
      <c r="G35" s="183" t="s">
        <v>344</v>
      </c>
      <c r="H35" s="725">
        <f>P20</f>
        <v>0.35</v>
      </c>
      <c r="I35" s="293" t="s">
        <v>356</v>
      </c>
      <c r="J35" s="8"/>
      <c r="K35" s="8"/>
      <c r="L35" s="346"/>
    </row>
    <row r="36" spans="2:19" ht="15" customHeight="1">
      <c r="B36" s="739"/>
      <c r="C36" s="729"/>
      <c r="D36" s="729"/>
      <c r="E36" s="729"/>
      <c r="F36" s="729"/>
      <c r="H36" s="729"/>
      <c r="I36" s="729"/>
      <c r="J36" s="729"/>
      <c r="K36" s="729"/>
      <c r="L36" s="742"/>
      <c r="R36" s="762"/>
      <c r="S36" s="762"/>
    </row>
    <row r="37" spans="2:19" ht="15" customHeight="1">
      <c r="B37" s="739"/>
      <c r="C37" s="8"/>
      <c r="D37" s="8"/>
      <c r="E37" s="8"/>
      <c r="F37" s="8"/>
      <c r="G37" s="8"/>
      <c r="H37" s="8"/>
      <c r="I37" s="8"/>
      <c r="J37" s="8"/>
      <c r="K37" s="8"/>
      <c r="L37" s="346"/>
      <c r="N37" s="729"/>
      <c r="R37" s="762"/>
      <c r="S37" s="762"/>
    </row>
    <row r="38" spans="2:19" ht="15" customHeight="1">
      <c r="B38" s="739"/>
      <c r="C38" s="17" t="s">
        <v>31</v>
      </c>
      <c r="D38" s="8" t="s">
        <v>25</v>
      </c>
      <c r="E38" s="8"/>
      <c r="F38" s="8"/>
      <c r="G38" s="8"/>
      <c r="H38" s="8"/>
      <c r="I38" s="8"/>
      <c r="J38" s="8"/>
      <c r="K38" s="8"/>
      <c r="L38" s="346"/>
      <c r="N38" s="729"/>
      <c r="O38" s="97">
        <f>O23</f>
        <v>2.907631033920243</v>
      </c>
      <c r="R38" s="762"/>
      <c r="S38" s="762"/>
    </row>
    <row r="39" spans="2:19" ht="15" customHeight="1">
      <c r="B39" s="739"/>
      <c r="C39" s="17" t="s">
        <v>32</v>
      </c>
      <c r="D39" s="8" t="s">
        <v>345</v>
      </c>
      <c r="E39" s="8"/>
      <c r="F39" s="8"/>
      <c r="G39" s="8"/>
      <c r="H39" s="8"/>
      <c r="I39" s="8"/>
      <c r="J39" s="8"/>
      <c r="K39" s="8"/>
      <c r="L39" s="346"/>
      <c r="N39" s="729"/>
      <c r="O39" s="774">
        <f>((0.278*$J$17*POWER(10,-6)))</f>
        <v>3.5028000000000004E-05</v>
      </c>
      <c r="R39" s="762"/>
      <c r="S39" s="762"/>
    </row>
    <row r="40" spans="2:19" ht="15" customHeight="1">
      <c r="B40" s="739"/>
      <c r="C40" s="17" t="s">
        <v>357</v>
      </c>
      <c r="D40" s="8" t="s">
        <v>346</v>
      </c>
      <c r="E40" s="8"/>
      <c r="F40" s="8"/>
      <c r="G40" s="8"/>
      <c r="H40" s="8"/>
      <c r="I40" s="8"/>
      <c r="J40" s="8"/>
      <c r="K40" s="130" t="s">
        <v>34</v>
      </c>
      <c r="L40" s="346"/>
      <c r="N40" s="729"/>
      <c r="O40" s="102">
        <f>(O38/O39)/10</f>
        <v>8300.876538541288</v>
      </c>
      <c r="R40" s="762"/>
      <c r="S40" s="762"/>
    </row>
    <row r="41" spans="2:19" ht="15" customHeight="1">
      <c r="B41" s="739"/>
      <c r="C41" s="17" t="s">
        <v>358</v>
      </c>
      <c r="D41" s="860" t="s">
        <v>350</v>
      </c>
      <c r="E41" s="860"/>
      <c r="F41" s="860"/>
      <c r="G41" s="860"/>
      <c r="H41" s="860"/>
      <c r="I41" s="860"/>
      <c r="J41" s="860"/>
      <c r="K41" s="591">
        <f>P20</f>
        <v>0.35</v>
      </c>
      <c r="L41" s="742"/>
      <c r="N41" s="729"/>
      <c r="O41" s="99"/>
      <c r="R41" s="762"/>
      <c r="S41" s="762"/>
    </row>
    <row r="42" spans="2:19" ht="11.25" customHeight="1">
      <c r="B42" s="739"/>
      <c r="C42" s="729"/>
      <c r="D42" s="729"/>
      <c r="E42" s="729"/>
      <c r="F42" s="729"/>
      <c r="G42" s="729"/>
      <c r="H42" s="729"/>
      <c r="I42" s="729"/>
      <c r="J42" s="729"/>
      <c r="K42" s="729"/>
      <c r="L42" s="742"/>
      <c r="N42" s="729"/>
      <c r="R42" s="762"/>
      <c r="S42" s="762"/>
    </row>
    <row r="43" spans="2:14" ht="12.75">
      <c r="B43" s="739"/>
      <c r="C43" s="729"/>
      <c r="D43" s="729"/>
      <c r="E43" s="729"/>
      <c r="F43" s="729"/>
      <c r="G43" s="729"/>
      <c r="H43" s="729"/>
      <c r="I43" s="729"/>
      <c r="J43" s="729"/>
      <c r="K43" s="729"/>
      <c r="L43" s="742"/>
      <c r="N43" s="729"/>
    </row>
    <row r="44" spans="2:12" ht="21.75" customHeight="1">
      <c r="B44" s="775"/>
      <c r="C44" s="776"/>
      <c r="D44" s="776"/>
      <c r="E44" s="776"/>
      <c r="F44" s="776"/>
      <c r="G44" s="776"/>
      <c r="H44" s="776"/>
      <c r="I44" s="776"/>
      <c r="J44" s="776"/>
      <c r="K44" s="776"/>
      <c r="L44" s="777"/>
    </row>
  </sheetData>
  <sheetProtection/>
  <mergeCells count="32">
    <mergeCell ref="D35:E35"/>
    <mergeCell ref="D41:J41"/>
    <mergeCell ref="C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R13:R14"/>
    <mergeCell ref="U13:V13"/>
    <mergeCell ref="L22:L23"/>
    <mergeCell ref="M22:M23"/>
    <mergeCell ref="X13:Z13"/>
    <mergeCell ref="J14:L14"/>
    <mergeCell ref="S14:U14"/>
    <mergeCell ref="X14:Z14"/>
    <mergeCell ref="B7:L7"/>
    <mergeCell ref="R9:X9"/>
    <mergeCell ref="B10:L10"/>
    <mergeCell ref="S10:X10"/>
    <mergeCell ref="B11:L11"/>
    <mergeCell ref="C12:L12"/>
    <mergeCell ref="B2:E5"/>
    <mergeCell ref="F2:L2"/>
    <mergeCell ref="F3:L3"/>
    <mergeCell ref="F4:L4"/>
    <mergeCell ref="F5:L5"/>
    <mergeCell ref="X5:Z5"/>
  </mergeCells>
  <printOptions/>
  <pageMargins left="1.1811023622047245" right="0.5905511811023623" top="1.1811023622047245" bottom="0.8661417322834646" header="0.5118110236220472" footer="0.5118110236220472"/>
  <pageSetup horizontalDpi="300" verticalDpi="300" orientation="portrait" paperSize="9" r:id="rId4"/>
  <drawing r:id="rId3"/>
  <legacyDrawing r:id="rId2"/>
  <oleObjects>
    <oleObject progId="Equation.3" shapeId="73193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A5">
      <selection activeCell="G37" sqref="G37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ht="6" customHeight="1"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">
        <v>366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">
        <v>367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24">
        <f>'[8]BASE '!G5</f>
        <v>0</v>
      </c>
      <c r="H5" s="925"/>
      <c r="I5" s="925"/>
      <c r="J5" s="925"/>
      <c r="K5" s="925"/>
      <c r="L5" s="925"/>
      <c r="M5" s="925"/>
      <c r="N5" s="925"/>
      <c r="O5" s="926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374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304"/>
      <c r="Q7" s="300"/>
      <c r="R7" s="301"/>
      <c r="S7" s="302"/>
      <c r="T7" s="300"/>
      <c r="U7" s="303"/>
    </row>
    <row r="8" spans="2:21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304"/>
      <c r="Q8" s="300"/>
      <c r="R8" s="301"/>
      <c r="S8" s="178"/>
      <c r="T8" s="300"/>
      <c r="U8" s="303"/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404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0.18</v>
      </c>
      <c r="E14" s="5" t="s">
        <v>8</v>
      </c>
      <c r="F14" s="12" t="s">
        <v>377</v>
      </c>
      <c r="G14" s="12"/>
      <c r="H14" s="12"/>
      <c r="I14" s="12"/>
      <c r="J14" s="810" t="s">
        <v>51</v>
      </c>
      <c r="K14" s="810"/>
      <c r="L14" s="922" t="s">
        <v>396</v>
      </c>
      <c r="M14" s="922"/>
      <c r="N14" s="922"/>
      <c r="O14" s="923"/>
      <c r="P14" s="299"/>
    </row>
    <row r="15" spans="3:16" ht="15" customHeight="1" thickBot="1">
      <c r="C15" s="87" t="s">
        <v>5</v>
      </c>
      <c r="D15" s="125">
        <v>1.35</v>
      </c>
      <c r="E15" s="5"/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0.13333333333333333</v>
      </c>
      <c r="E16" s="8" t="s">
        <v>7</v>
      </c>
      <c r="F16" s="92">
        <f>POWER($D$16,2/3)</f>
        <v>0.26099117607792427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v>126</v>
      </c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778">
        <f aca="true" t="shared" si="0" ref="D18:O18">D19*$D$14</f>
        <v>0.09903918787347502</v>
      </c>
      <c r="E18" s="778">
        <f t="shared" si="0"/>
        <v>0.10387317655728659</v>
      </c>
      <c r="F18" s="778">
        <f t="shared" si="0"/>
        <v>0.10849199455058875</v>
      </c>
      <c r="G18" s="778">
        <f t="shared" si="0"/>
        <v>0.11292204813511278</v>
      </c>
      <c r="H18" s="778">
        <f t="shared" si="0"/>
        <v>0.11718474742257406</v>
      </c>
      <c r="I18" s="778">
        <f t="shared" si="0"/>
        <v>0.12129773741482659</v>
      </c>
      <c r="J18" s="778">
        <f t="shared" si="0"/>
        <v>0.12527576451740366</v>
      </c>
      <c r="K18" s="778">
        <f t="shared" si="0"/>
        <v>0.1291313023588151</v>
      </c>
      <c r="L18" s="778">
        <f t="shared" si="0"/>
        <v>0.13287501391287782</v>
      </c>
      <c r="M18" s="778">
        <f t="shared" si="0"/>
        <v>0.13651609940154022</v>
      </c>
      <c r="N18" s="778">
        <f t="shared" si="0"/>
        <v>0.14006256269708536</v>
      </c>
      <c r="O18" s="779">
        <f t="shared" si="0"/>
        <v>0.1435214184111163</v>
      </c>
      <c r="P18" s="310"/>
      <c r="Q18" s="46" t="s">
        <v>139</v>
      </c>
      <c r="R18" s="311">
        <v>0.6</v>
      </c>
      <c r="S18" s="31"/>
      <c r="T18" s="38" t="s">
        <v>29</v>
      </c>
      <c r="U18" s="311">
        <v>6.3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0.5502177104081946</v>
      </c>
      <c r="E19" s="188">
        <f t="shared" si="1"/>
        <v>0.5770732030960366</v>
      </c>
      <c r="F19" s="188">
        <f t="shared" si="1"/>
        <v>0.6027333030588264</v>
      </c>
      <c r="G19" s="188">
        <f t="shared" si="1"/>
        <v>0.6273447118617377</v>
      </c>
      <c r="H19" s="188">
        <f t="shared" si="1"/>
        <v>0.6510263745698559</v>
      </c>
      <c r="I19" s="188">
        <f t="shared" si="1"/>
        <v>0.6738763189712589</v>
      </c>
      <c r="J19" s="188">
        <f t="shared" si="1"/>
        <v>0.6959764695411315</v>
      </c>
      <c r="K19" s="188">
        <f t="shared" si="1"/>
        <v>0.7173961242156395</v>
      </c>
      <c r="L19" s="188">
        <f t="shared" si="1"/>
        <v>0.7381945217382101</v>
      </c>
      <c r="M19" s="188">
        <f t="shared" si="1"/>
        <v>0.7584227744530013</v>
      </c>
      <c r="N19" s="188">
        <f t="shared" si="1"/>
        <v>0.7781253483171409</v>
      </c>
      <c r="O19" s="189">
        <f t="shared" si="1"/>
        <v>0.7973412133950906</v>
      </c>
      <c r="P19" s="312">
        <v>0.4</v>
      </c>
      <c r="Q19" s="46" t="s">
        <v>140</v>
      </c>
      <c r="R19" s="311">
        <v>0.7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0.35</v>
      </c>
      <c r="S20" s="31"/>
      <c r="T20" s="38" t="s">
        <v>44</v>
      </c>
      <c r="U20" s="311">
        <v>0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0.1</v>
      </c>
      <c r="E22" s="927">
        <v>0.11</v>
      </c>
      <c r="F22" s="927">
        <v>0.12</v>
      </c>
      <c r="G22" s="927">
        <v>0.13</v>
      </c>
      <c r="H22" s="927">
        <v>0.14</v>
      </c>
      <c r="I22" s="927">
        <v>0.15</v>
      </c>
      <c r="J22" s="927">
        <v>0.16</v>
      </c>
      <c r="K22" s="927">
        <v>0.17</v>
      </c>
      <c r="L22" s="927">
        <v>0.18</v>
      </c>
      <c r="M22" s="927">
        <v>0.19</v>
      </c>
      <c r="N22" s="927">
        <v>0.2</v>
      </c>
      <c r="O22" s="930">
        <v>0.21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3.1318941129350915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805">
        <v>0</v>
      </c>
      <c r="D24" s="71">
        <f aca="true" t="shared" si="2" ref="D24:D33">(($Q$23/R24)/10)*SQRT($D$22)</f>
        <v>747.9971266635596</v>
      </c>
      <c r="E24" s="65">
        <f aca="true" t="shared" si="3" ref="E24:E33">(($Q$23/R24)/10)*SQRT($E$22)</f>
        <v>784.5060048505909</v>
      </c>
      <c r="F24" s="65">
        <f aca="true" t="shared" si="4" ref="F24:F33">(($Q$23/R24)/10)*SQRT($F$22)</f>
        <v>819.3897984453611</v>
      </c>
      <c r="G24" s="65">
        <f aca="true" t="shared" si="5" ref="G24:G33">(($Q$23/R24)/10)*SQRT($G$22)</f>
        <v>852.8479418665579</v>
      </c>
      <c r="H24" s="65">
        <f aca="true" t="shared" si="6" ref="H24:H33">(($Q$23/R24)/10)*SQRT($H$22)</f>
        <v>885.0421357741776</v>
      </c>
      <c r="I24" s="65">
        <f aca="true" t="shared" si="7" ref="I24:I33">(($Q$23/R24)/10)*SQRT($I$22)</f>
        <v>916.1056446968395</v>
      </c>
      <c r="J24" s="65">
        <f aca="true" t="shared" si="8" ref="J24:J33">(($Q$23/R24)/10)*SQRT($J$22)</f>
        <v>946.1498414073249</v>
      </c>
      <c r="K24" s="65">
        <f aca="true" t="shared" si="9" ref="K24:K33">(($Q$23/R24)/10)*SQRT($K$22)</f>
        <v>975.2689334459496</v>
      </c>
      <c r="L24" s="65">
        <f aca="true" t="shared" si="10" ref="L24:L33">(($Q$23/R24)/10)*SQRT($L$22)</f>
        <v>1003.5434533165438</v>
      </c>
      <c r="M24" s="65">
        <f aca="true" t="shared" si="11" ref="M24:M33">(($Q$23/R24)/10)*SQRT($M$22)</f>
        <v>1031.042886035391</v>
      </c>
      <c r="N24" s="65">
        <f aca="true" t="shared" si="12" ref="N24:N33">(($Q$23/R24)/10)*SQRT($N$22)</f>
        <v>1057.8276811437117</v>
      </c>
      <c r="O24" s="66">
        <f aca="true" t="shared" si="13" ref="O24:O33">(($Q$23/R24)/10)*SQRT($O$22)</f>
        <v>1083.9508167548825</v>
      </c>
      <c r="P24" s="299"/>
      <c r="Q24" s="51"/>
      <c r="R24" s="29">
        <f aca="true" t="shared" si="14" ref="R24:R33">((0.278*$K$17*POWER(10,-6)*(($R$18*$U$18)+($R$19*W24)+($R$20*$U$20))))</f>
        <v>0.00013240584000000002</v>
      </c>
      <c r="S24" s="165">
        <f aca="true" t="shared" si="15" ref="S24:S33">($Q$23/R24)/10</f>
        <v>2365.374603518312</v>
      </c>
      <c r="T24" s="3"/>
      <c r="U24" s="10"/>
      <c r="V24" s="323">
        <f aca="true" t="shared" si="16" ref="V24:V33">C24</f>
        <v>0</v>
      </c>
      <c r="W24" s="324">
        <f aca="true" t="shared" si="17" ref="W24:W33">$Q$17*V24</f>
        <v>0</v>
      </c>
    </row>
    <row r="25" spans="2:23" ht="18" customHeight="1" hidden="1">
      <c r="B25" s="15"/>
      <c r="C25" s="62">
        <v>2</v>
      </c>
      <c r="D25" s="72">
        <f t="shared" si="2"/>
        <v>545.8357410788138</v>
      </c>
      <c r="E25" s="67">
        <f t="shared" si="3"/>
        <v>572.4773548909718</v>
      </c>
      <c r="F25" s="67">
        <f t="shared" si="4"/>
        <v>597.9330961628311</v>
      </c>
      <c r="G25" s="67">
        <f t="shared" si="5"/>
        <v>622.3484981188396</v>
      </c>
      <c r="H25" s="67">
        <f t="shared" si="6"/>
        <v>645.8415585379134</v>
      </c>
      <c r="I25" s="67">
        <f t="shared" si="7"/>
        <v>668.5095245085046</v>
      </c>
      <c r="J25" s="67">
        <f t="shared" si="8"/>
        <v>690.433668053994</v>
      </c>
      <c r="K25" s="67">
        <f t="shared" si="9"/>
        <v>711.6827352173148</v>
      </c>
      <c r="L25" s="67">
        <f t="shared" si="10"/>
        <v>732.3154929607213</v>
      </c>
      <c r="M25" s="67">
        <f t="shared" si="11"/>
        <v>752.3826465663665</v>
      </c>
      <c r="N25" s="67">
        <f t="shared" si="12"/>
        <v>771.9283078616277</v>
      </c>
      <c r="O25" s="68">
        <f t="shared" si="13"/>
        <v>790.9911365508602</v>
      </c>
      <c r="P25" s="299"/>
      <c r="Q25" s="51"/>
      <c r="R25" s="30">
        <f t="shared" si="14"/>
        <v>0.00018144504000000002</v>
      </c>
      <c r="S25" s="78">
        <f t="shared" si="15"/>
        <v>1726.0841701349848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 hidden="1">
      <c r="B26" s="14"/>
      <c r="C26" s="61">
        <v>2.5</v>
      </c>
      <c r="D26" s="72">
        <f t="shared" si="2"/>
        <v>511.2891751877497</v>
      </c>
      <c r="E26" s="67">
        <f t="shared" si="3"/>
        <v>536.2446109105306</v>
      </c>
      <c r="F26" s="67">
        <f t="shared" si="4"/>
        <v>560.0892293170824</v>
      </c>
      <c r="G26" s="67">
        <f t="shared" si="5"/>
        <v>582.9593526682802</v>
      </c>
      <c r="H26" s="67">
        <f t="shared" si="6"/>
        <v>604.9655105291848</v>
      </c>
      <c r="I26" s="67">
        <f t="shared" si="7"/>
        <v>626.1987951092322</v>
      </c>
      <c r="J26" s="67">
        <f t="shared" si="8"/>
        <v>646.7353346328551</v>
      </c>
      <c r="K26" s="67">
        <f t="shared" si="9"/>
        <v>666.6395241276114</v>
      </c>
      <c r="L26" s="67">
        <f t="shared" si="10"/>
        <v>685.9664111277643</v>
      </c>
      <c r="M26" s="67">
        <f t="shared" si="11"/>
        <v>704.763491720394</v>
      </c>
      <c r="N26" s="67">
        <f t="shared" si="12"/>
        <v>723.072085845069</v>
      </c>
      <c r="O26" s="68">
        <f t="shared" si="13"/>
        <v>740.9284063894135</v>
      </c>
      <c r="P26" s="299"/>
      <c r="Q26" s="51"/>
      <c r="R26" s="30">
        <f t="shared" si="14"/>
        <v>0.00019370484</v>
      </c>
      <c r="S26" s="78">
        <f t="shared" si="15"/>
        <v>1616.8383365821378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 hidden="1">
      <c r="C27" s="61">
        <v>3</v>
      </c>
      <c r="D27" s="72">
        <f t="shared" si="2"/>
        <v>480.8552957122885</v>
      </c>
      <c r="E27" s="67">
        <f t="shared" si="3"/>
        <v>504.3252888325229</v>
      </c>
      <c r="F27" s="67">
        <f t="shared" si="4"/>
        <v>526.7505847148752</v>
      </c>
      <c r="G27" s="67">
        <f t="shared" si="5"/>
        <v>548.2593911999303</v>
      </c>
      <c r="H27" s="67">
        <f t="shared" si="6"/>
        <v>568.9556587119715</v>
      </c>
      <c r="I27" s="67">
        <f t="shared" si="7"/>
        <v>588.9250573051113</v>
      </c>
      <c r="J27" s="67">
        <f t="shared" si="8"/>
        <v>608.2391837618519</v>
      </c>
      <c r="K27" s="67">
        <f t="shared" si="9"/>
        <v>626.9586000723964</v>
      </c>
      <c r="L27" s="67">
        <f t="shared" si="10"/>
        <v>645.1350771320641</v>
      </c>
      <c r="M27" s="67">
        <f t="shared" si="11"/>
        <v>662.8132838798945</v>
      </c>
      <c r="N27" s="67">
        <f t="shared" si="12"/>
        <v>680.0320807352435</v>
      </c>
      <c r="O27" s="68">
        <f t="shared" si="13"/>
        <v>696.8255250567104</v>
      </c>
      <c r="P27" s="299"/>
      <c r="Q27" s="51"/>
      <c r="R27" s="30">
        <f t="shared" si="14"/>
        <v>0.00020596463999999999</v>
      </c>
      <c r="S27" s="78">
        <f t="shared" si="15"/>
        <v>1520.5979594046298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 hidden="1">
      <c r="B28" s="14"/>
      <c r="C28" s="62">
        <v>3.5</v>
      </c>
      <c r="D28" s="72">
        <f t="shared" si="2"/>
        <v>453.8409532565418</v>
      </c>
      <c r="E28" s="67">
        <f t="shared" si="3"/>
        <v>475.9924074374372</v>
      </c>
      <c r="F28" s="67">
        <f t="shared" si="4"/>
        <v>497.15785523651124</v>
      </c>
      <c r="G28" s="67">
        <f t="shared" si="5"/>
        <v>517.4583018066756</v>
      </c>
      <c r="H28" s="67">
        <f t="shared" si="6"/>
        <v>536.991857660737</v>
      </c>
      <c r="I28" s="67">
        <f t="shared" si="7"/>
        <v>555.8393799284195</v>
      </c>
      <c r="J28" s="67">
        <f t="shared" si="8"/>
        <v>574.0684431010735</v>
      </c>
      <c r="K28" s="67">
        <f t="shared" si="9"/>
        <v>591.7362068099021</v>
      </c>
      <c r="L28" s="67">
        <f t="shared" si="10"/>
        <v>608.8915334729592</v>
      </c>
      <c r="M28" s="67">
        <f t="shared" si="11"/>
        <v>625.5765825383271</v>
      </c>
      <c r="N28" s="67">
        <f t="shared" si="12"/>
        <v>641.8280312557353</v>
      </c>
      <c r="O28" s="68">
        <f t="shared" si="13"/>
        <v>657.6780236490298</v>
      </c>
      <c r="P28" s="299"/>
      <c r="Q28" s="51"/>
      <c r="R28" s="30">
        <f t="shared" si="14"/>
        <v>0.00021822444000000002</v>
      </c>
      <c r="S28" s="78">
        <f t="shared" si="15"/>
        <v>1435.1711077526838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 hidden="1">
      <c r="C29" s="61">
        <v>4</v>
      </c>
      <c r="D29" s="72">
        <f t="shared" si="2"/>
        <v>429.7004770194917</v>
      </c>
      <c r="E29" s="67">
        <f t="shared" si="3"/>
        <v>450.67366236097774</v>
      </c>
      <c r="F29" s="67">
        <f t="shared" si="4"/>
        <v>470.7132884686117</v>
      </c>
      <c r="G29" s="67">
        <f t="shared" si="5"/>
        <v>489.9339240510013</v>
      </c>
      <c r="H29" s="67">
        <f t="shared" si="6"/>
        <v>508.42846097665523</v>
      </c>
      <c r="I29" s="67">
        <f t="shared" si="7"/>
        <v>526.2734554641419</v>
      </c>
      <c r="J29" s="67">
        <f t="shared" si="8"/>
        <v>543.5328876169739</v>
      </c>
      <c r="K29" s="67">
        <f t="shared" si="9"/>
        <v>560.2608766604392</v>
      </c>
      <c r="L29" s="67">
        <f t="shared" si="10"/>
        <v>576.5036859478017</v>
      </c>
      <c r="M29" s="67">
        <f t="shared" si="11"/>
        <v>592.3012324033098</v>
      </c>
      <c r="N29" s="67">
        <f t="shared" si="12"/>
        <v>607.6882423591536</v>
      </c>
      <c r="O29" s="68">
        <f t="shared" si="13"/>
        <v>622.6951500506771</v>
      </c>
      <c r="P29" s="299"/>
      <c r="Q29" s="51"/>
      <c r="R29" s="30">
        <f t="shared" si="14"/>
        <v>0.00023048424000000003</v>
      </c>
      <c r="S29" s="78">
        <f t="shared" si="15"/>
        <v>1358.8322190424346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 hidden="1">
      <c r="C30" s="61">
        <v>5</v>
      </c>
      <c r="D30" s="72">
        <f t="shared" si="2"/>
        <v>388.38312345992523</v>
      </c>
      <c r="E30" s="67">
        <f t="shared" si="3"/>
        <v>407.33965636472993</v>
      </c>
      <c r="F30" s="67">
        <f t="shared" si="4"/>
        <v>425.4523953466298</v>
      </c>
      <c r="G30" s="67">
        <f t="shared" si="5"/>
        <v>442.8248928922513</v>
      </c>
      <c r="H30" s="67">
        <f t="shared" si="6"/>
        <v>459.5411089596692</v>
      </c>
      <c r="I30" s="67">
        <f t="shared" si="7"/>
        <v>475.6702385925898</v>
      </c>
      <c r="J30" s="67">
        <f t="shared" si="8"/>
        <v>491.2701099614957</v>
      </c>
      <c r="K30" s="67">
        <f t="shared" si="9"/>
        <v>506.3896385200124</v>
      </c>
      <c r="L30" s="67">
        <f t="shared" si="10"/>
        <v>521.0706392220517</v>
      </c>
      <c r="M30" s="67">
        <f t="shared" si="11"/>
        <v>535.3491908260685</v>
      </c>
      <c r="N30" s="67">
        <f t="shared" si="12"/>
        <v>549.2566805938504</v>
      </c>
      <c r="O30" s="68">
        <f t="shared" si="13"/>
        <v>562.8206163919582</v>
      </c>
      <c r="P30" s="299"/>
      <c r="Q30" s="51"/>
      <c r="R30" s="30">
        <f t="shared" si="14"/>
        <v>0.00025500384</v>
      </c>
      <c r="S30" s="78">
        <f t="shared" si="15"/>
        <v>1228.1752749037391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 hidden="1">
      <c r="C31" s="62">
        <v>6</v>
      </c>
      <c r="D31" s="72">
        <f t="shared" si="2"/>
        <v>354.314428419581</v>
      </c>
      <c r="E31" s="67">
        <f t="shared" si="3"/>
        <v>371.60810756080633</v>
      </c>
      <c r="F31" s="67">
        <f t="shared" si="4"/>
        <v>388.13200978990807</v>
      </c>
      <c r="G31" s="67">
        <f t="shared" si="5"/>
        <v>403.9806040420539</v>
      </c>
      <c r="H31" s="67">
        <f t="shared" si="6"/>
        <v>419.23048536671587</v>
      </c>
      <c r="I31" s="67">
        <f t="shared" si="7"/>
        <v>433.9447790669241</v>
      </c>
      <c r="J31" s="67">
        <f t="shared" si="8"/>
        <v>448.1762406666278</v>
      </c>
      <c r="K31" s="67">
        <f t="shared" si="9"/>
        <v>461.96949479018684</v>
      </c>
      <c r="L31" s="67">
        <f t="shared" si="10"/>
        <v>475.36268841309993</v>
      </c>
      <c r="M31" s="67">
        <f t="shared" si="11"/>
        <v>488.38873549044854</v>
      </c>
      <c r="N31" s="67">
        <f t="shared" si="12"/>
        <v>501.0762700154426</v>
      </c>
      <c r="O31" s="68">
        <f t="shared" si="13"/>
        <v>513.4503868838918</v>
      </c>
      <c r="P31" s="299"/>
      <c r="Q31" s="51"/>
      <c r="R31" s="30">
        <f t="shared" si="14"/>
        <v>0.00027952344</v>
      </c>
      <c r="S31" s="78">
        <f t="shared" si="15"/>
        <v>1120.4406016665694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 hidden="1">
      <c r="B32" s="20"/>
      <c r="C32" s="61">
        <v>7</v>
      </c>
      <c r="D32" s="72">
        <f t="shared" si="2"/>
        <v>325.7406841921953</v>
      </c>
      <c r="E32" s="67">
        <f t="shared" si="3"/>
        <v>341.63971178977346</v>
      </c>
      <c r="F32" s="67">
        <f t="shared" si="4"/>
        <v>356.8310412584637</v>
      </c>
      <c r="G32" s="67">
        <f t="shared" si="5"/>
        <v>371.4015230709204</v>
      </c>
      <c r="H32" s="67">
        <f t="shared" si="6"/>
        <v>385.42157525649674</v>
      </c>
      <c r="I32" s="67">
        <f t="shared" si="7"/>
        <v>398.9492323679785</v>
      </c>
      <c r="J32" s="67">
        <f t="shared" si="8"/>
        <v>412.032995451577</v>
      </c>
      <c r="K32" s="67">
        <f t="shared" si="9"/>
        <v>424.7138903716233</v>
      </c>
      <c r="L32" s="67">
        <f t="shared" si="10"/>
        <v>437.02698773462396</v>
      </c>
      <c r="M32" s="67">
        <f t="shared" si="11"/>
        <v>449.00254714444446</v>
      </c>
      <c r="N32" s="67">
        <f t="shared" si="12"/>
        <v>460.66689340129386</v>
      </c>
      <c r="O32" s="68">
        <f t="shared" si="13"/>
        <v>472.0430976190617</v>
      </c>
      <c r="P32" s="299"/>
      <c r="Q32" s="51"/>
      <c r="R32" s="30">
        <f t="shared" si="14"/>
        <v>0.00030404304000000005</v>
      </c>
      <c r="S32" s="78">
        <f t="shared" si="15"/>
        <v>1030.0824886289424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hidden="1" thickBot="1">
      <c r="C33" s="63">
        <v>8</v>
      </c>
      <c r="D33" s="73">
        <f t="shared" si="2"/>
        <v>301.43167790919574</v>
      </c>
      <c r="E33" s="69">
        <f t="shared" si="3"/>
        <v>316.14421090993966</v>
      </c>
      <c r="F33" s="69">
        <f t="shared" si="4"/>
        <v>330.2018590749963</v>
      </c>
      <c r="G33" s="69">
        <f t="shared" si="5"/>
        <v>343.6849914984637</v>
      </c>
      <c r="H33" s="69">
        <f t="shared" si="6"/>
        <v>356.65877113287763</v>
      </c>
      <c r="I33" s="69">
        <f t="shared" si="7"/>
        <v>369.1769015942488</v>
      </c>
      <c r="J33" s="69">
        <f t="shared" si="8"/>
        <v>381.284264447728</v>
      </c>
      <c r="K33" s="69">
        <f t="shared" si="9"/>
        <v>393.0188239259798</v>
      </c>
      <c r="L33" s="69">
        <f t="shared" si="10"/>
        <v>404.41303342607</v>
      </c>
      <c r="M33" s="69">
        <f t="shared" si="11"/>
        <v>415.49489437247104</v>
      </c>
      <c r="N33" s="69">
        <f t="shared" si="12"/>
        <v>426.28876702806303</v>
      </c>
      <c r="O33" s="70">
        <f t="shared" si="13"/>
        <v>436.81600078181833</v>
      </c>
      <c r="P33" s="299"/>
      <c r="Q33" s="53"/>
      <c r="R33" s="54">
        <f t="shared" si="14"/>
        <v>0.00032856264</v>
      </c>
      <c r="S33" s="106">
        <f t="shared" si="15"/>
        <v>953.21066111932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8941.116001299222</v>
      </c>
      <c r="F35" s="920"/>
      <c r="G35" s="3" t="s">
        <v>33</v>
      </c>
      <c r="H35" s="183" t="s">
        <v>280</v>
      </c>
      <c r="I35" s="606">
        <f>R18</f>
        <v>0.6</v>
      </c>
      <c r="J35" s="3" t="s">
        <v>281</v>
      </c>
      <c r="K35" s="606">
        <f>R19</f>
        <v>0.7</v>
      </c>
      <c r="L35" s="3" t="s">
        <v>282</v>
      </c>
      <c r="M35" s="606">
        <f>R20</f>
        <v>0.35</v>
      </c>
      <c r="N35" s="3" t="s">
        <v>283</v>
      </c>
      <c r="O35" s="83" t="s">
        <v>284</v>
      </c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3.1318941129350915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6.3</v>
      </c>
      <c r="M40" s="5"/>
      <c r="N40" s="5"/>
      <c r="O40" s="83"/>
      <c r="P40" s="299"/>
      <c r="Q40" s="102">
        <f>(Q38/Q39)/10</f>
        <v>8941.116001299222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0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25">
    <mergeCell ref="C2:F5"/>
    <mergeCell ref="G2:O2"/>
    <mergeCell ref="G3:O3"/>
    <mergeCell ref="G4:O4"/>
    <mergeCell ref="G5:O5"/>
    <mergeCell ref="D7:M7"/>
    <mergeCell ref="D8:M8"/>
    <mergeCell ref="D10:M10"/>
    <mergeCell ref="D12:M12"/>
    <mergeCell ref="J14:K14"/>
    <mergeCell ref="L14:O14"/>
    <mergeCell ref="D20:O21"/>
    <mergeCell ref="O22:O23"/>
    <mergeCell ref="D22:D23"/>
    <mergeCell ref="E22:E23"/>
    <mergeCell ref="F22:F23"/>
    <mergeCell ref="G22:G23"/>
    <mergeCell ref="H22:H23"/>
    <mergeCell ref="I22:I23"/>
    <mergeCell ref="E35:F35"/>
    <mergeCell ref="J22:J23"/>
    <mergeCell ref="K22:K23"/>
    <mergeCell ref="L22:L23"/>
    <mergeCell ref="M22:M23"/>
    <mergeCell ref="N22:N23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4"/>
  <rowBreaks count="1" manualBreakCount="1">
    <brk id="44" max="255" man="1"/>
  </rowBreaks>
  <drawing r:id="rId3"/>
  <legacyDrawing r:id="rId2"/>
  <oleObjects>
    <oleObject progId="Equation.3" shapeId="140179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W45"/>
  <sheetViews>
    <sheetView zoomScalePageLayoutView="0" workbookViewId="0" topLeftCell="A10">
      <selection activeCell="V8" sqref="V8"/>
    </sheetView>
  </sheetViews>
  <sheetFormatPr defaultColWidth="9.140625" defaultRowHeight="12.75"/>
  <cols>
    <col min="1" max="1" width="2.421875" style="2" customWidth="1"/>
    <col min="2" max="2" width="1.1484375" style="2" customWidth="1"/>
    <col min="3" max="3" width="8.8515625" style="2" customWidth="1"/>
    <col min="4" max="4" width="5.7109375" style="2" customWidth="1"/>
    <col min="5" max="5" width="5.421875" style="2" customWidth="1"/>
    <col min="6" max="6" width="7.28125" style="2" customWidth="1"/>
    <col min="7" max="14" width="6.28125" style="2" customWidth="1"/>
    <col min="15" max="15" width="5.28125" style="2" customWidth="1"/>
    <col min="16" max="16" width="2.8515625" style="2" customWidth="1"/>
    <col min="17" max="17" width="9.421875" style="2" customWidth="1"/>
    <col min="18" max="18" width="9.140625" style="2" customWidth="1"/>
    <col min="19" max="19" width="7.8515625" style="2" customWidth="1"/>
    <col min="20" max="21" width="7.421875" style="2" customWidth="1"/>
    <col min="22" max="22" width="8.7109375" style="2" customWidth="1"/>
    <col min="23" max="23" width="6.8515625" style="2" customWidth="1"/>
    <col min="24" max="16384" width="9.140625" style="2" customWidth="1"/>
  </cols>
  <sheetData>
    <row r="1" spans="7:8" ht="6" customHeight="1">
      <c r="G1" s="35"/>
      <c r="H1" s="35"/>
    </row>
    <row r="2" spans="3:19" ht="19.5" customHeight="1">
      <c r="C2" s="878"/>
      <c r="D2" s="879"/>
      <c r="E2" s="879"/>
      <c r="F2" s="880"/>
      <c r="G2" s="861" t="str">
        <f>'[4]BASE '!G2</f>
        <v>PROJETO  DE  DRENAGEM</v>
      </c>
      <c r="H2" s="862"/>
      <c r="I2" s="862"/>
      <c r="J2" s="862"/>
      <c r="K2" s="862"/>
      <c r="L2" s="862"/>
      <c r="M2" s="862"/>
      <c r="N2" s="862"/>
      <c r="O2" s="863"/>
      <c r="P2" s="299"/>
      <c r="R2" s="129"/>
      <c r="S2" s="129"/>
    </row>
    <row r="3" spans="3:16" ht="19.5" customHeight="1">
      <c r="C3" s="881"/>
      <c r="D3" s="882"/>
      <c r="E3" s="882"/>
      <c r="F3" s="883"/>
      <c r="G3" s="864" t="s">
        <v>366</v>
      </c>
      <c r="H3" s="865"/>
      <c r="I3" s="865"/>
      <c r="J3" s="865"/>
      <c r="K3" s="865"/>
      <c r="L3" s="865"/>
      <c r="M3" s="865"/>
      <c r="N3" s="865"/>
      <c r="O3" s="866"/>
      <c r="P3" s="299"/>
    </row>
    <row r="4" spans="3:21" ht="19.5" customHeight="1">
      <c r="C4" s="881"/>
      <c r="D4" s="882"/>
      <c r="E4" s="882"/>
      <c r="F4" s="883"/>
      <c r="G4" s="864" t="s">
        <v>367</v>
      </c>
      <c r="H4" s="865"/>
      <c r="I4" s="865"/>
      <c r="J4" s="865"/>
      <c r="K4" s="865"/>
      <c r="L4" s="865"/>
      <c r="M4" s="865"/>
      <c r="N4" s="865"/>
      <c r="O4" s="866"/>
      <c r="P4" s="299"/>
      <c r="Q4" s="34"/>
      <c r="R4" s="167"/>
      <c r="S4" s="167"/>
      <c r="T4" s="34"/>
      <c r="U4" s="178"/>
    </row>
    <row r="5" spans="3:21" ht="19.5" customHeight="1">
      <c r="C5" s="884"/>
      <c r="D5" s="885"/>
      <c r="E5" s="885"/>
      <c r="F5" s="886"/>
      <c r="G5" s="935">
        <f>'[8]BASE '!G5</f>
        <v>0</v>
      </c>
      <c r="H5" s="936"/>
      <c r="I5" s="936"/>
      <c r="J5" s="936"/>
      <c r="K5" s="936"/>
      <c r="L5" s="936"/>
      <c r="M5" s="936"/>
      <c r="N5" s="936"/>
      <c r="O5" s="937"/>
      <c r="P5" s="299"/>
      <c r="Q5" s="10"/>
      <c r="R5" s="167"/>
      <c r="S5" s="167"/>
      <c r="T5" s="169"/>
      <c r="U5" s="179"/>
    </row>
    <row r="6" spans="3:21" ht="12.75"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299"/>
      <c r="Q6" s="300"/>
      <c r="R6" s="301"/>
      <c r="S6" s="302"/>
      <c r="T6" s="300"/>
      <c r="U6" s="303"/>
    </row>
    <row r="7" spans="2:21" s="75" customFormat="1" ht="21" customHeight="1">
      <c r="B7" s="74"/>
      <c r="C7" s="86"/>
      <c r="D7" s="874" t="s">
        <v>375</v>
      </c>
      <c r="E7" s="874"/>
      <c r="F7" s="874"/>
      <c r="G7" s="874"/>
      <c r="H7" s="874"/>
      <c r="I7" s="874"/>
      <c r="J7" s="874"/>
      <c r="K7" s="874"/>
      <c r="L7" s="874"/>
      <c r="M7" s="874"/>
      <c r="N7" s="116"/>
      <c r="O7" s="90"/>
      <c r="P7" s="304"/>
      <c r="Q7" s="300"/>
      <c r="R7" s="301"/>
      <c r="S7" s="302"/>
      <c r="T7" s="300"/>
      <c r="U7" s="303"/>
    </row>
    <row r="8" spans="2:22" s="75" customFormat="1" ht="12.75" customHeight="1">
      <c r="B8" s="74"/>
      <c r="C8" s="103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117"/>
      <c r="O8" s="90"/>
      <c r="P8" s="304"/>
      <c r="Q8" s="300"/>
      <c r="R8" s="301"/>
      <c r="S8" s="178"/>
      <c r="T8" s="300"/>
      <c r="U8" s="303"/>
      <c r="V8" s="75" t="s">
        <v>403</v>
      </c>
    </row>
    <row r="9" spans="3:21" ht="18.75" customHeight="1">
      <c r="C9" s="8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3"/>
      <c r="P9" s="299"/>
      <c r="Q9" s="300"/>
      <c r="R9" s="301"/>
      <c r="S9" s="178"/>
      <c r="T9" s="300"/>
      <c r="U9" s="303"/>
    </row>
    <row r="10" spans="3:21" ht="12.75">
      <c r="C10" s="82"/>
      <c r="D10" s="888" t="s">
        <v>373</v>
      </c>
      <c r="E10" s="888"/>
      <c r="F10" s="888"/>
      <c r="G10" s="888"/>
      <c r="H10" s="888"/>
      <c r="I10" s="888"/>
      <c r="J10" s="888"/>
      <c r="K10" s="888"/>
      <c r="L10" s="888"/>
      <c r="M10" s="888"/>
      <c r="N10" s="5"/>
      <c r="O10" s="83"/>
      <c r="P10" s="299"/>
      <c r="Q10" s="180"/>
      <c r="R10" s="180"/>
      <c r="S10" s="180"/>
      <c r="T10" s="167"/>
      <c r="U10" s="34"/>
    </row>
    <row r="11" spans="3:21" ht="12.75">
      <c r="C11" s="82"/>
      <c r="M11" s="5"/>
      <c r="N11" s="5"/>
      <c r="O11" s="83"/>
      <c r="P11" s="299"/>
      <c r="Q11" s="305"/>
      <c r="R11" s="30"/>
      <c r="S11" s="26"/>
      <c r="T11" s="167"/>
      <c r="U11" s="179"/>
    </row>
    <row r="12" spans="3:21" ht="12.75">
      <c r="C12" s="82"/>
      <c r="D12" s="921" t="s">
        <v>24</v>
      </c>
      <c r="E12" s="921"/>
      <c r="F12" s="921"/>
      <c r="G12" s="921"/>
      <c r="H12" s="921"/>
      <c r="I12" s="921"/>
      <c r="J12" s="921"/>
      <c r="K12" s="921"/>
      <c r="L12" s="921"/>
      <c r="M12" s="921"/>
      <c r="N12" s="5"/>
      <c r="O12" s="83"/>
      <c r="P12" s="299"/>
      <c r="Q12" s="179"/>
      <c r="R12" s="30"/>
      <c r="S12" s="26"/>
      <c r="T12" s="179"/>
      <c r="U12" s="10"/>
    </row>
    <row r="13" spans="3:16" ht="15" customHeight="1">
      <c r="C13" s="87"/>
      <c r="D13" s="13"/>
      <c r="E13" s="13"/>
      <c r="F13" s="13"/>
      <c r="G13" s="13"/>
      <c r="H13" s="13"/>
      <c r="I13" s="13"/>
      <c r="O13" s="83"/>
      <c r="P13" s="299"/>
    </row>
    <row r="14" spans="3:16" ht="15" customHeight="1">
      <c r="C14" s="87" t="s">
        <v>4</v>
      </c>
      <c r="D14" s="125">
        <v>0.25</v>
      </c>
      <c r="E14" s="5" t="s">
        <v>8</v>
      </c>
      <c r="F14" s="12" t="s">
        <v>377</v>
      </c>
      <c r="G14" s="12"/>
      <c r="H14" s="12"/>
      <c r="I14" s="12"/>
      <c r="J14" s="810" t="s">
        <v>51</v>
      </c>
      <c r="K14" s="810"/>
      <c r="L14" s="922" t="s">
        <v>396</v>
      </c>
      <c r="M14" s="922"/>
      <c r="N14" s="922"/>
      <c r="O14" s="923"/>
      <c r="P14" s="299"/>
    </row>
    <row r="15" spans="3:16" ht="15" customHeight="1" thickBot="1">
      <c r="C15" s="87" t="s">
        <v>5</v>
      </c>
      <c r="D15" s="125">
        <v>1.5</v>
      </c>
      <c r="E15" s="5"/>
      <c r="F15" s="8"/>
      <c r="G15" s="8"/>
      <c r="H15" s="8"/>
      <c r="I15" s="8"/>
      <c r="J15" s="6" t="s">
        <v>18</v>
      </c>
      <c r="K15" s="215">
        <f>'[8]BASE '!K15</f>
        <v>10</v>
      </c>
      <c r="L15" s="5" t="s">
        <v>12</v>
      </c>
      <c r="M15" s="5"/>
      <c r="N15" s="5"/>
      <c r="O15" s="83"/>
      <c r="P15" s="299"/>
    </row>
    <row r="16" spans="3:23" ht="15" customHeight="1">
      <c r="C16" s="87" t="s">
        <v>6</v>
      </c>
      <c r="D16" s="91">
        <f>D14/D15</f>
        <v>0.16666666666666666</v>
      </c>
      <c r="E16" s="8" t="s">
        <v>7</v>
      </c>
      <c r="F16" s="92">
        <f>POWER($D$16,2/3)</f>
        <v>0.30285343213869</v>
      </c>
      <c r="G16" s="8"/>
      <c r="H16" s="8"/>
      <c r="I16" s="8"/>
      <c r="J16" s="6" t="s">
        <v>17</v>
      </c>
      <c r="K16" s="215">
        <f>'[8]BASE '!K16</f>
        <v>10</v>
      </c>
      <c r="L16" s="5" t="s">
        <v>13</v>
      </c>
      <c r="M16" s="5"/>
      <c r="N16" s="5"/>
      <c r="O16" s="83"/>
      <c r="P16" s="299"/>
      <c r="Q16" s="39" t="s">
        <v>15</v>
      </c>
      <c r="R16" s="306" t="s">
        <v>2</v>
      </c>
      <c r="S16" s="306" t="s">
        <v>16</v>
      </c>
      <c r="T16" s="41"/>
      <c r="U16" s="42"/>
      <c r="V16" s="42"/>
      <c r="W16" s="43"/>
    </row>
    <row r="17" spans="3:23" ht="15" customHeight="1">
      <c r="C17" s="87" t="s">
        <v>9</v>
      </c>
      <c r="D17" s="91">
        <f>'[8]BASE '!$D$17</f>
        <v>0.015</v>
      </c>
      <c r="E17" s="5"/>
      <c r="F17" s="5"/>
      <c r="G17" s="5"/>
      <c r="H17" s="5"/>
      <c r="I17" s="5"/>
      <c r="J17" s="6" t="s">
        <v>19</v>
      </c>
      <c r="K17" s="307">
        <v>126</v>
      </c>
      <c r="L17" s="8" t="s">
        <v>14</v>
      </c>
      <c r="M17" s="5"/>
      <c r="N17" s="5"/>
      <c r="O17" s="83"/>
      <c r="P17" s="299"/>
      <c r="Q17" s="308">
        <f>R17/S17</f>
        <v>1</v>
      </c>
      <c r="R17" s="309">
        <v>1</v>
      </c>
      <c r="S17" s="309">
        <v>1</v>
      </c>
      <c r="T17" s="32"/>
      <c r="U17" s="4"/>
      <c r="V17" s="35"/>
      <c r="W17" s="50"/>
    </row>
    <row r="18" spans="2:23" ht="12.75">
      <c r="B18" s="60"/>
      <c r="C18" s="184" t="s">
        <v>97</v>
      </c>
      <c r="D18" s="778">
        <f aca="true" t="shared" si="0" ref="D18:O18">D19*$D$14</f>
        <v>0.1596177737929166</v>
      </c>
      <c r="E18" s="778">
        <f t="shared" si="0"/>
        <v>0.16740853347923268</v>
      </c>
      <c r="F18" s="778">
        <f t="shared" si="0"/>
        <v>0.17485251057027473</v>
      </c>
      <c r="G18" s="778">
        <f t="shared" si="0"/>
        <v>0.18199226308771674</v>
      </c>
      <c r="H18" s="778">
        <f t="shared" si="0"/>
        <v>0.18886229691192835</v>
      </c>
      <c r="I18" s="778">
        <f t="shared" si="0"/>
        <v>0.19549104983581742</v>
      </c>
      <c r="J18" s="778">
        <f t="shared" si="0"/>
        <v>0.20190228809246002</v>
      </c>
      <c r="K18" s="778">
        <f t="shared" si="0"/>
        <v>0.2081161149647749</v>
      </c>
      <c r="L18" s="778">
        <f t="shared" si="0"/>
        <v>0.2141497155708876</v>
      </c>
      <c r="M18" s="778">
        <f t="shared" si="0"/>
        <v>0.22001791756616715</v>
      </c>
      <c r="N18" s="778">
        <f t="shared" si="0"/>
        <v>0.22573362049374346</v>
      </c>
      <c r="O18" s="779">
        <f t="shared" si="0"/>
        <v>0.2313081295421198</v>
      </c>
      <c r="P18" s="310"/>
      <c r="Q18" s="46" t="s">
        <v>139</v>
      </c>
      <c r="R18" s="311">
        <v>0.8</v>
      </c>
      <c r="S18" s="31"/>
      <c r="T18" s="38" t="s">
        <v>29</v>
      </c>
      <c r="U18" s="311">
        <v>13.3</v>
      </c>
      <c r="V18" s="5"/>
      <c r="W18" s="45"/>
    </row>
    <row r="19" spans="2:23" ht="12.75">
      <c r="B19" s="15"/>
      <c r="C19" s="185" t="s">
        <v>16</v>
      </c>
      <c r="D19" s="188">
        <f aca="true" t="shared" si="1" ref="D19:O19">($F$16/$D$17)*POWER(D22/100,1/2)</f>
        <v>0.6384710951716664</v>
      </c>
      <c r="E19" s="188">
        <f t="shared" si="1"/>
        <v>0.6696341339169307</v>
      </c>
      <c r="F19" s="188">
        <f t="shared" si="1"/>
        <v>0.6994100422810989</v>
      </c>
      <c r="G19" s="188">
        <f t="shared" si="1"/>
        <v>0.727969052350867</v>
      </c>
      <c r="H19" s="188">
        <f t="shared" si="1"/>
        <v>0.7554491876477134</v>
      </c>
      <c r="I19" s="188">
        <f t="shared" si="1"/>
        <v>0.7819641993432697</v>
      </c>
      <c r="J19" s="188">
        <f t="shared" si="1"/>
        <v>0.8076091523698401</v>
      </c>
      <c r="K19" s="188">
        <f t="shared" si="1"/>
        <v>0.8324644598590996</v>
      </c>
      <c r="L19" s="188">
        <f t="shared" si="1"/>
        <v>0.8565988622835504</v>
      </c>
      <c r="M19" s="188">
        <f t="shared" si="1"/>
        <v>0.8800716702646686</v>
      </c>
      <c r="N19" s="188">
        <f t="shared" si="1"/>
        <v>0.9029344819749738</v>
      </c>
      <c r="O19" s="189">
        <f t="shared" si="1"/>
        <v>0.9252325181684792</v>
      </c>
      <c r="P19" s="312">
        <v>0.4</v>
      </c>
      <c r="Q19" s="46" t="s">
        <v>140</v>
      </c>
      <c r="R19" s="311">
        <v>0.7</v>
      </c>
      <c r="S19" s="31"/>
      <c r="T19" s="38" t="s">
        <v>43</v>
      </c>
      <c r="U19" s="313"/>
      <c r="V19" s="314"/>
      <c r="W19" s="315"/>
    </row>
    <row r="20" spans="2:23" ht="12.75">
      <c r="B20" s="22"/>
      <c r="C20" s="23" t="s">
        <v>0</v>
      </c>
      <c r="D20" s="830" t="s">
        <v>20</v>
      </c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2"/>
      <c r="P20" s="316"/>
      <c r="Q20" s="46" t="s">
        <v>141</v>
      </c>
      <c r="R20" s="311">
        <v>0.35</v>
      </c>
      <c r="S20" s="31"/>
      <c r="T20" s="38" t="s">
        <v>44</v>
      </c>
      <c r="U20" s="311">
        <v>3</v>
      </c>
      <c r="V20" s="5"/>
      <c r="W20" s="315"/>
    </row>
    <row r="21" spans="2:23" ht="12.75">
      <c r="B21" s="6"/>
      <c r="C21" s="24" t="s">
        <v>46</v>
      </c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7"/>
      <c r="P21" s="299"/>
      <c r="Q21" s="317"/>
      <c r="R21" s="35"/>
      <c r="S21" s="35"/>
      <c r="T21" s="35"/>
      <c r="U21" s="35"/>
      <c r="V21" s="35"/>
      <c r="W21" s="318"/>
    </row>
    <row r="22" spans="2:23" ht="12.75">
      <c r="B22" s="7"/>
      <c r="C22" s="27" t="s">
        <v>47</v>
      </c>
      <c r="D22" s="933">
        <v>0.1</v>
      </c>
      <c r="E22" s="927">
        <v>0.11</v>
      </c>
      <c r="F22" s="927">
        <v>0.12</v>
      </c>
      <c r="G22" s="927">
        <v>0.13</v>
      </c>
      <c r="H22" s="927">
        <v>0.14</v>
      </c>
      <c r="I22" s="927">
        <v>0.15</v>
      </c>
      <c r="J22" s="927">
        <v>0.16</v>
      </c>
      <c r="K22" s="927">
        <v>0.17</v>
      </c>
      <c r="L22" s="927">
        <v>0.18</v>
      </c>
      <c r="M22" s="927">
        <v>0.19</v>
      </c>
      <c r="N22" s="927">
        <v>0.2</v>
      </c>
      <c r="O22" s="930">
        <v>0.21</v>
      </c>
      <c r="P22" s="299"/>
      <c r="Q22" s="47" t="s">
        <v>22</v>
      </c>
      <c r="R22" s="28" t="s">
        <v>21</v>
      </c>
      <c r="S22" s="319" t="s">
        <v>23</v>
      </c>
      <c r="T22" s="320"/>
      <c r="U22" s="18"/>
      <c r="V22" s="18" t="s">
        <v>3</v>
      </c>
      <c r="W22" s="321" t="s">
        <v>35</v>
      </c>
    </row>
    <row r="23" spans="2:23" ht="12.75">
      <c r="B23" s="22"/>
      <c r="C23" s="25" t="s">
        <v>1</v>
      </c>
      <c r="D23" s="934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1"/>
      <c r="P23" s="299"/>
      <c r="Q23" s="49">
        <f>($D$14*$F$16)/$D$17</f>
        <v>5.0475572023115</v>
      </c>
      <c r="R23" s="30"/>
      <c r="S23" s="78"/>
      <c r="T23" s="36"/>
      <c r="U23" s="4"/>
      <c r="V23" s="291" t="s">
        <v>36</v>
      </c>
      <c r="W23" s="322"/>
    </row>
    <row r="24" spans="2:23" ht="18" customHeight="1">
      <c r="B24" s="22"/>
      <c r="C24" s="64">
        <v>1</v>
      </c>
      <c r="D24" s="71">
        <f aca="true" t="shared" si="2" ref="D24:D33">(($Q$23/R24)/10)*SQRT($D$22)</f>
        <v>367.7854990144091</v>
      </c>
      <c r="E24" s="65">
        <f aca="true" t="shared" si="3" ref="E24:E33">(($Q$23/R24)/10)*SQRT($E$22)</f>
        <v>385.7366855949868</v>
      </c>
      <c r="F24" s="65">
        <f aca="true" t="shared" si="4" ref="F24:F33">(($Q$23/R24)/10)*SQRT($F$22)</f>
        <v>402.8888282669718</v>
      </c>
      <c r="G24" s="65">
        <f aca="true" t="shared" si="5" ref="G24:G33">(($Q$23/R24)/10)*SQRT($G$22)</f>
        <v>419.3399876840525</v>
      </c>
      <c r="H24" s="65">
        <f aca="true" t="shared" si="6" ref="H24:H33">(($Q$23/R24)/10)*SQRT($H$22)</f>
        <v>435.1696710472699</v>
      </c>
      <c r="I24" s="65">
        <f aca="true" t="shared" si="7" ref="I24:I33">(($Q$23/R24)/10)*SQRT($I$22)</f>
        <v>450.4434036900939</v>
      </c>
      <c r="J24" s="65">
        <f aca="true" t="shared" si="8" ref="J24:J33">(($Q$23/R24)/10)*SQRT($J$22)</f>
        <v>465.21594690685816</v>
      </c>
      <c r="K24" s="65">
        <f aca="true" t="shared" si="9" ref="K24:K33">(($Q$23/R24)/10)*SQRT($K$22)</f>
        <v>479.53362195467844</v>
      </c>
      <c r="L24" s="65">
        <f aca="true" t="shared" si="10" ref="L24:L33">(($Q$23/R24)/10)*SQRT($L$22)</f>
        <v>493.4360261609404</v>
      </c>
      <c r="M24" s="65">
        <f aca="true" t="shared" si="11" ref="M24:M33">(($Q$23/R24)/10)*SQRT($M$22)</f>
        <v>506.9573248726445</v>
      </c>
      <c r="N24" s="65">
        <f aca="true" t="shared" si="12" ref="N24:N33">(($Q$23/R24)/10)*SQRT($N$22)</f>
        <v>520.127240750334</v>
      </c>
      <c r="O24" s="66">
        <f aca="true" t="shared" si="13" ref="O24:O33">(($Q$23/R24)/10)*SQRT($O$22)</f>
        <v>532.9718228003087</v>
      </c>
      <c r="P24" s="299"/>
      <c r="Q24" s="51"/>
      <c r="R24" s="29">
        <f aca="true" t="shared" si="14" ref="R24:R33">((0.278*$K$17*POWER(10,-6)*(($R$18*$U$18)+($R$19*W24)+($R$20*$U$20))))</f>
        <v>0.0004339969200000001</v>
      </c>
      <c r="S24" s="165">
        <f aca="true" t="shared" si="15" ref="S24:S33">($Q$23/R24)/10</f>
        <v>1163.0398672671454</v>
      </c>
      <c r="T24" s="3"/>
      <c r="U24" s="10"/>
      <c r="V24" s="323">
        <f aca="true" t="shared" si="16" ref="V24:V33">C24</f>
        <v>1</v>
      </c>
      <c r="W24" s="324">
        <f aca="true" t="shared" si="17" ref="W24:W33">$Q$17*V24</f>
        <v>1</v>
      </c>
    </row>
    <row r="25" spans="2:23" ht="18" customHeight="1">
      <c r="B25" s="15"/>
      <c r="C25" s="62">
        <v>2</v>
      </c>
      <c r="D25" s="72">
        <f t="shared" si="2"/>
        <v>348.1178252703231</v>
      </c>
      <c r="E25" s="67">
        <f t="shared" si="3"/>
        <v>365.10905534926565</v>
      </c>
      <c r="F25" s="67">
        <f t="shared" si="4"/>
        <v>381.3439711403958</v>
      </c>
      <c r="G25" s="67">
        <f t="shared" si="5"/>
        <v>396.9153894121781</v>
      </c>
      <c r="H25" s="67">
        <f t="shared" si="6"/>
        <v>411.89856564367267</v>
      </c>
      <c r="I25" s="67">
        <f t="shared" si="7"/>
        <v>426.3555211398216</v>
      </c>
      <c r="J25" s="67">
        <f t="shared" si="8"/>
        <v>440.33808878349686</v>
      </c>
      <c r="K25" s="67">
        <f t="shared" si="9"/>
        <v>453.89011275924116</v>
      </c>
      <c r="L25" s="67">
        <f t="shared" si="10"/>
        <v>467.04907289030194</v>
      </c>
      <c r="M25" s="67">
        <f t="shared" si="11"/>
        <v>479.84730749977587</v>
      </c>
      <c r="N25" s="67">
        <f t="shared" si="12"/>
        <v>492.3129498011183</v>
      </c>
      <c r="O25" s="68">
        <f t="shared" si="13"/>
        <v>504.4706558056398</v>
      </c>
      <c r="P25" s="299"/>
      <c r="Q25" s="51"/>
      <c r="R25" s="30">
        <f t="shared" si="14"/>
        <v>0.00045851652000000005</v>
      </c>
      <c r="S25" s="78">
        <f t="shared" si="15"/>
        <v>1100.845221958742</v>
      </c>
      <c r="T25" s="3"/>
      <c r="U25" s="10"/>
      <c r="V25" s="323">
        <f t="shared" si="16"/>
        <v>2</v>
      </c>
      <c r="W25" s="324">
        <f t="shared" si="17"/>
        <v>2</v>
      </c>
    </row>
    <row r="26" spans="2:23" ht="18" customHeight="1">
      <c r="B26" s="14"/>
      <c r="C26" s="61">
        <v>2.5</v>
      </c>
      <c r="D26" s="72">
        <f t="shared" si="2"/>
        <v>339.05225690390836</v>
      </c>
      <c r="E26" s="67">
        <f t="shared" si="3"/>
        <v>355.60100703287844</v>
      </c>
      <c r="F26" s="67">
        <f t="shared" si="4"/>
        <v>371.4131385586146</v>
      </c>
      <c r="G26" s="67">
        <f t="shared" si="5"/>
        <v>386.5790511462359</v>
      </c>
      <c r="H26" s="67">
        <f t="shared" si="6"/>
        <v>401.1720404967019</v>
      </c>
      <c r="I26" s="67">
        <f t="shared" si="7"/>
        <v>415.25251277680525</v>
      </c>
      <c r="J26" s="67">
        <f t="shared" si="8"/>
        <v>428.87095105475987</v>
      </c>
      <c r="K26" s="67">
        <f t="shared" si="9"/>
        <v>442.0700577394692</v>
      </c>
      <c r="L26" s="67">
        <f t="shared" si="10"/>
        <v>454.88633661711685</v>
      </c>
      <c r="M26" s="67">
        <f t="shared" si="11"/>
        <v>467.3512838669691</v>
      </c>
      <c r="N26" s="67">
        <f t="shared" si="12"/>
        <v>479.49230006671405</v>
      </c>
      <c r="O26" s="68">
        <f t="shared" si="13"/>
        <v>491.3333991440345</v>
      </c>
      <c r="P26" s="299"/>
      <c r="Q26" s="51"/>
      <c r="R26" s="30">
        <f t="shared" si="14"/>
        <v>0.0004707763200000001</v>
      </c>
      <c r="S26" s="78">
        <f t="shared" si="15"/>
        <v>1072.1773776368996</v>
      </c>
      <c r="T26" s="3"/>
      <c r="U26" s="10"/>
      <c r="V26" s="323">
        <f t="shared" si="16"/>
        <v>2.5</v>
      </c>
      <c r="W26" s="324">
        <f t="shared" si="17"/>
        <v>2.5</v>
      </c>
    </row>
    <row r="27" spans="3:23" ht="18" customHeight="1">
      <c r="C27" s="61">
        <v>3</v>
      </c>
      <c r="D27" s="72">
        <f t="shared" si="2"/>
        <v>330.4468696728448</v>
      </c>
      <c r="E27" s="67">
        <f t="shared" si="3"/>
        <v>346.57560076300854</v>
      </c>
      <c r="F27" s="67">
        <f t="shared" si="4"/>
        <v>361.98640915357373</v>
      </c>
      <c r="G27" s="67">
        <f t="shared" si="5"/>
        <v>376.7674001019153</v>
      </c>
      <c r="H27" s="67">
        <f t="shared" si="6"/>
        <v>390.9900090120142</v>
      </c>
      <c r="I27" s="67">
        <f t="shared" si="7"/>
        <v>404.71310889922154</v>
      </c>
      <c r="J27" s="67">
        <f t="shared" si="8"/>
        <v>417.98590153560366</v>
      </c>
      <c r="K27" s="67">
        <f t="shared" si="9"/>
        <v>430.85000551257923</v>
      </c>
      <c r="L27" s="67">
        <f t="shared" si="10"/>
        <v>443.3409981242968</v>
      </c>
      <c r="M27" s="67">
        <f t="shared" si="11"/>
        <v>455.4895761546096</v>
      </c>
      <c r="N27" s="67">
        <f t="shared" si="12"/>
        <v>467.3224447350717</v>
      </c>
      <c r="O27" s="68">
        <f t="shared" si="13"/>
        <v>478.8630083028155</v>
      </c>
      <c r="P27" s="299"/>
      <c r="Q27" s="51"/>
      <c r="R27" s="30">
        <f t="shared" si="14"/>
        <v>0.00048303612</v>
      </c>
      <c r="S27" s="78">
        <f t="shared" si="15"/>
        <v>1044.964753839009</v>
      </c>
      <c r="T27" s="3"/>
      <c r="U27" s="10"/>
      <c r="V27" s="323">
        <f t="shared" si="16"/>
        <v>3</v>
      </c>
      <c r="W27" s="324">
        <f t="shared" si="17"/>
        <v>3</v>
      </c>
    </row>
    <row r="28" spans="2:23" ht="18" customHeight="1">
      <c r="B28" s="14"/>
      <c r="C28" s="62">
        <v>3.5</v>
      </c>
      <c r="D28" s="72">
        <f t="shared" si="2"/>
        <v>322.26749171064563</v>
      </c>
      <c r="E28" s="67">
        <f t="shared" si="3"/>
        <v>337.99699678372605</v>
      </c>
      <c r="F28" s="67">
        <f t="shared" si="4"/>
        <v>353.02634952105944</v>
      </c>
      <c r="G28" s="67">
        <f t="shared" si="5"/>
        <v>367.44147435681833</v>
      </c>
      <c r="H28" s="67">
        <f t="shared" si="6"/>
        <v>381.31203849191473</v>
      </c>
      <c r="I28" s="67">
        <f t="shared" si="7"/>
        <v>394.69545768884467</v>
      </c>
      <c r="J28" s="67">
        <f t="shared" si="8"/>
        <v>407.6397158540292</v>
      </c>
      <c r="K28" s="67">
        <f t="shared" si="9"/>
        <v>420.1854014157331</v>
      </c>
      <c r="L28" s="67">
        <f t="shared" si="10"/>
        <v>432.3672110420121</v>
      </c>
      <c r="M28" s="67">
        <f t="shared" si="11"/>
        <v>444.215081695337</v>
      </c>
      <c r="N28" s="67">
        <f t="shared" si="12"/>
        <v>455.755057489154</v>
      </c>
      <c r="O28" s="68">
        <f t="shared" si="13"/>
        <v>467.00996354284473</v>
      </c>
      <c r="P28" s="299"/>
      <c r="Q28" s="51"/>
      <c r="R28" s="30">
        <f t="shared" si="14"/>
        <v>0.0004952959200000001</v>
      </c>
      <c r="S28" s="78">
        <f t="shared" si="15"/>
        <v>1019.099289635073</v>
      </c>
      <c r="T28" s="3"/>
      <c r="U28" s="10"/>
      <c r="V28" s="323">
        <f t="shared" si="16"/>
        <v>3.5</v>
      </c>
      <c r="W28" s="324">
        <f t="shared" si="17"/>
        <v>3.5</v>
      </c>
    </row>
    <row r="29" spans="3:23" ht="18" customHeight="1">
      <c r="C29" s="61">
        <v>4</v>
      </c>
      <c r="D29" s="72">
        <f t="shared" si="2"/>
        <v>314.4832527804368</v>
      </c>
      <c r="E29" s="67">
        <f t="shared" si="3"/>
        <v>329.8328181174525</v>
      </c>
      <c r="F29" s="67">
        <f t="shared" si="4"/>
        <v>344.499143010889</v>
      </c>
      <c r="G29" s="67">
        <f t="shared" si="5"/>
        <v>358.5660764254942</v>
      </c>
      <c r="H29" s="67">
        <f t="shared" si="6"/>
        <v>372.1016027795497</v>
      </c>
      <c r="I29" s="67">
        <f t="shared" si="7"/>
        <v>385.16175098138467</v>
      </c>
      <c r="J29" s="67">
        <f t="shared" si="8"/>
        <v>397.79334590586427</v>
      </c>
      <c r="K29" s="67">
        <f t="shared" si="9"/>
        <v>410.0359955844352</v>
      </c>
      <c r="L29" s="67">
        <f t="shared" si="10"/>
        <v>421.9235586013839</v>
      </c>
      <c r="M29" s="67">
        <f t="shared" si="11"/>
        <v>433.48524880414533</v>
      </c>
      <c r="N29" s="67">
        <f t="shared" si="12"/>
        <v>444.7464812213001</v>
      </c>
      <c r="O29" s="68">
        <f t="shared" si="13"/>
        <v>455.7295296408437</v>
      </c>
      <c r="P29" s="299"/>
      <c r="Q29" s="51"/>
      <c r="R29" s="30">
        <f t="shared" si="14"/>
        <v>0.0005075557200000001</v>
      </c>
      <c r="S29" s="78">
        <f t="shared" si="15"/>
        <v>994.4833647646607</v>
      </c>
      <c r="T29" s="3"/>
      <c r="U29" s="10"/>
      <c r="V29" s="323">
        <f t="shared" si="16"/>
        <v>4</v>
      </c>
      <c r="W29" s="324">
        <f t="shared" si="17"/>
        <v>4</v>
      </c>
    </row>
    <row r="30" spans="3:23" ht="18" customHeight="1">
      <c r="C30" s="61">
        <v>5</v>
      </c>
      <c r="D30" s="72">
        <f t="shared" si="2"/>
        <v>299.9909369841033</v>
      </c>
      <c r="E30" s="67">
        <f t="shared" si="3"/>
        <v>314.6331490797819</v>
      </c>
      <c r="F30" s="67">
        <f t="shared" si="4"/>
        <v>328.62360646660835</v>
      </c>
      <c r="G30" s="67">
        <f t="shared" si="5"/>
        <v>342.0422941017387</v>
      </c>
      <c r="H30" s="67">
        <f t="shared" si="6"/>
        <v>354.9540634809529</v>
      </c>
      <c r="I30" s="67">
        <f t="shared" si="7"/>
        <v>367.4123615352379</v>
      </c>
      <c r="J30" s="67">
        <f t="shared" si="8"/>
        <v>379.461855311124</v>
      </c>
      <c r="K30" s="67">
        <f t="shared" si="9"/>
        <v>391.1403275851525</v>
      </c>
      <c r="L30" s="67">
        <f t="shared" si="10"/>
        <v>402.4800766381864</v>
      </c>
      <c r="M30" s="67">
        <f t="shared" si="11"/>
        <v>413.5089700574105</v>
      </c>
      <c r="N30" s="67">
        <f t="shared" si="12"/>
        <v>424.25125167193136</v>
      </c>
      <c r="O30" s="68">
        <f t="shared" si="13"/>
        <v>434.7281688279016</v>
      </c>
      <c r="P30" s="299"/>
      <c r="Q30" s="51"/>
      <c r="R30" s="30">
        <f t="shared" si="14"/>
        <v>0.0005320753200000001</v>
      </c>
      <c r="S30" s="78">
        <f t="shared" si="15"/>
        <v>948.6546382778099</v>
      </c>
      <c r="T30" s="3"/>
      <c r="U30" s="10"/>
      <c r="V30" s="323">
        <f t="shared" si="16"/>
        <v>5</v>
      </c>
      <c r="W30" s="324">
        <f t="shared" si="17"/>
        <v>5</v>
      </c>
    </row>
    <row r="31" spans="3:23" ht="18" customHeight="1">
      <c r="C31" s="802">
        <v>6</v>
      </c>
      <c r="D31" s="72">
        <f t="shared" si="2"/>
        <v>286.77547720506794</v>
      </c>
      <c r="E31" s="67">
        <f t="shared" si="3"/>
        <v>300.7726579308928</v>
      </c>
      <c r="F31" s="67">
        <f t="shared" si="4"/>
        <v>314.1467956090485</v>
      </c>
      <c r="G31" s="67">
        <f t="shared" si="5"/>
        <v>326.9743516302965</v>
      </c>
      <c r="H31" s="67">
        <f t="shared" si="6"/>
        <v>339.3173205963294</v>
      </c>
      <c r="I31" s="67">
        <f t="shared" si="7"/>
        <v>351.2267949477825</v>
      </c>
      <c r="J31" s="67">
        <f t="shared" si="8"/>
        <v>362.745474019885</v>
      </c>
      <c r="K31" s="67">
        <f t="shared" si="9"/>
        <v>373.90947614968326</v>
      </c>
      <c r="L31" s="67">
        <f t="shared" si="10"/>
        <v>384.74967678628394</v>
      </c>
      <c r="M31" s="67">
        <f t="shared" si="11"/>
        <v>395.2927158698594</v>
      </c>
      <c r="N31" s="67">
        <f t="shared" si="12"/>
        <v>405.5617692194234</v>
      </c>
      <c r="O31" s="68">
        <f t="shared" si="13"/>
        <v>415.57714817469</v>
      </c>
      <c r="P31" s="299"/>
      <c r="Q31" s="51"/>
      <c r="R31" s="30">
        <f t="shared" si="14"/>
        <v>0.0005565949200000001</v>
      </c>
      <c r="S31" s="78">
        <f t="shared" si="15"/>
        <v>906.8636850497126</v>
      </c>
      <c r="T31" s="3"/>
      <c r="U31" s="10"/>
      <c r="V31" s="323">
        <f t="shared" si="16"/>
        <v>6</v>
      </c>
      <c r="W31" s="324">
        <f t="shared" si="17"/>
        <v>6</v>
      </c>
    </row>
    <row r="32" spans="2:23" ht="18" customHeight="1">
      <c r="B32" s="20"/>
      <c r="C32" s="61">
        <v>7</v>
      </c>
      <c r="D32" s="72">
        <f t="shared" si="2"/>
        <v>274.67524609936885</v>
      </c>
      <c r="E32" s="67">
        <f t="shared" si="3"/>
        <v>288.0818284823319</v>
      </c>
      <c r="F32" s="67">
        <f t="shared" si="4"/>
        <v>300.8916565538144</v>
      </c>
      <c r="G32" s="67">
        <f t="shared" si="5"/>
        <v>313.1779654855582</v>
      </c>
      <c r="H32" s="67">
        <f t="shared" si="6"/>
        <v>325.00013407327754</v>
      </c>
      <c r="I32" s="67">
        <f t="shared" si="7"/>
        <v>336.40709895842457</v>
      </c>
      <c r="J32" s="67">
        <f t="shared" si="8"/>
        <v>347.4397578165144</v>
      </c>
      <c r="K32" s="67">
        <f t="shared" si="9"/>
        <v>358.132705004127</v>
      </c>
      <c r="L32" s="67">
        <f t="shared" si="10"/>
        <v>368.5155132088036</v>
      </c>
      <c r="M32" s="67">
        <f t="shared" si="11"/>
        <v>378.61369832260795</v>
      </c>
      <c r="N32" s="67">
        <f t="shared" si="12"/>
        <v>388.449458281895</v>
      </c>
      <c r="O32" s="68">
        <f t="shared" si="13"/>
        <v>398.04224740782547</v>
      </c>
      <c r="P32" s="299"/>
      <c r="Q32" s="51"/>
      <c r="R32" s="30">
        <f t="shared" si="14"/>
        <v>0.0005811145200000001</v>
      </c>
      <c r="S32" s="78">
        <f t="shared" si="15"/>
        <v>868.5993945412858</v>
      </c>
      <c r="T32" s="3"/>
      <c r="U32" s="10"/>
      <c r="V32" s="323">
        <f t="shared" si="16"/>
        <v>7</v>
      </c>
      <c r="W32" s="324">
        <f t="shared" si="17"/>
        <v>7</v>
      </c>
    </row>
    <row r="33" spans="3:23" ht="18" customHeight="1" thickBot="1">
      <c r="C33" s="63">
        <v>8</v>
      </c>
      <c r="D33" s="73">
        <f t="shared" si="2"/>
        <v>263.5547907917021</v>
      </c>
      <c r="E33" s="69">
        <f t="shared" si="3"/>
        <v>276.4185965599703</v>
      </c>
      <c r="F33" s="69">
        <f t="shared" si="4"/>
        <v>288.70980811034013</v>
      </c>
      <c r="G33" s="69">
        <f t="shared" si="5"/>
        <v>300.4986956278433</v>
      </c>
      <c r="H33" s="69">
        <f t="shared" si="6"/>
        <v>311.8422339083675</v>
      </c>
      <c r="I33" s="69">
        <f t="shared" si="7"/>
        <v>322.7873783528203</v>
      </c>
      <c r="J33" s="69">
        <f t="shared" si="8"/>
        <v>333.3733708603802</v>
      </c>
      <c r="K33" s="69">
        <f t="shared" si="9"/>
        <v>343.633405206389</v>
      </c>
      <c r="L33" s="69">
        <f t="shared" si="10"/>
        <v>353.59585680358884</v>
      </c>
      <c r="M33" s="69">
        <f t="shared" si="11"/>
        <v>363.285208511976</v>
      </c>
      <c r="N33" s="69">
        <f t="shared" si="12"/>
        <v>372.72275956602874</v>
      </c>
      <c r="O33" s="70">
        <f t="shared" si="13"/>
        <v>381.92717666256937</v>
      </c>
      <c r="P33" s="299"/>
      <c r="Q33" s="53"/>
      <c r="R33" s="54">
        <f t="shared" si="14"/>
        <v>0.0006056341200000001</v>
      </c>
      <c r="S33" s="106">
        <f t="shared" si="15"/>
        <v>833.4334271509504</v>
      </c>
      <c r="T33" s="56"/>
      <c r="U33" s="57"/>
      <c r="V33" s="325">
        <f t="shared" si="16"/>
        <v>8</v>
      </c>
      <c r="W33" s="326">
        <f t="shared" si="17"/>
        <v>8</v>
      </c>
    </row>
    <row r="34" spans="2:16" ht="18" customHeight="1">
      <c r="B34" s="21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99"/>
    </row>
    <row r="35" spans="3:16" ht="18" customHeight="1">
      <c r="C35" s="82"/>
      <c r="D35" s="6" t="s">
        <v>31</v>
      </c>
      <c r="E35" s="920">
        <f>Q40</f>
        <v>14410.063955439933</v>
      </c>
      <c r="F35" s="920"/>
      <c r="G35" s="3" t="s">
        <v>33</v>
      </c>
      <c r="H35" s="183" t="s">
        <v>280</v>
      </c>
      <c r="I35" s="606">
        <f>R18</f>
        <v>0.8</v>
      </c>
      <c r="J35" s="3" t="s">
        <v>281</v>
      </c>
      <c r="K35" s="606">
        <f>R19</f>
        <v>0.7</v>
      </c>
      <c r="L35" s="3" t="s">
        <v>282</v>
      </c>
      <c r="M35" s="606">
        <f>R20</f>
        <v>0.35</v>
      </c>
      <c r="N35" s="3" t="s">
        <v>283</v>
      </c>
      <c r="O35" s="83" t="s">
        <v>284</v>
      </c>
      <c r="P35" s="299"/>
    </row>
    <row r="36" spans="3:21" ht="15" customHeight="1">
      <c r="C36" s="82"/>
      <c r="D36" s="5"/>
      <c r="E36" s="5"/>
      <c r="F36" s="5"/>
      <c r="G36" s="5"/>
      <c r="I36" s="5"/>
      <c r="J36" s="5"/>
      <c r="K36" s="5"/>
      <c r="L36" s="5"/>
      <c r="M36" s="5"/>
      <c r="N36" s="5"/>
      <c r="O36" s="83"/>
      <c r="P36" s="299"/>
      <c r="T36" s="1"/>
      <c r="U36" s="1"/>
    </row>
    <row r="37" spans="3:21" ht="15" customHeight="1">
      <c r="C37" s="8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3"/>
      <c r="P37" s="299"/>
      <c r="T37" s="1"/>
      <c r="U37" s="1"/>
    </row>
    <row r="38" spans="3:21" ht="15" customHeight="1">
      <c r="C38" s="82"/>
      <c r="D38" s="6" t="s">
        <v>31</v>
      </c>
      <c r="E38" s="5" t="s">
        <v>25</v>
      </c>
      <c r="F38" s="5"/>
      <c r="G38" s="5"/>
      <c r="H38" s="5"/>
      <c r="I38" s="5"/>
      <c r="J38" s="5"/>
      <c r="K38" s="5"/>
      <c r="L38" s="5"/>
      <c r="M38" s="5"/>
      <c r="N38" s="5"/>
      <c r="O38" s="83"/>
      <c r="P38" s="299"/>
      <c r="Q38" s="97">
        <f>Q23</f>
        <v>5.0475572023115</v>
      </c>
      <c r="T38" s="1"/>
      <c r="U38" s="1"/>
    </row>
    <row r="39" spans="3:21" ht="15" customHeight="1">
      <c r="C39" s="82"/>
      <c r="D39" s="6" t="s">
        <v>32</v>
      </c>
      <c r="E39" s="5" t="s">
        <v>26</v>
      </c>
      <c r="F39" s="5"/>
      <c r="G39" s="5"/>
      <c r="H39" s="5"/>
      <c r="I39" s="5"/>
      <c r="J39" s="5"/>
      <c r="K39" s="5"/>
      <c r="L39" s="5"/>
      <c r="M39" s="5"/>
      <c r="N39" s="5"/>
      <c r="O39" s="83"/>
      <c r="P39" s="299"/>
      <c r="Q39" s="98">
        <f>((0.278*$K$17*POWER(10,-6)))</f>
        <v>3.5028000000000004E-05</v>
      </c>
      <c r="T39" s="1"/>
      <c r="U39" s="1"/>
    </row>
    <row r="40" spans="3:21" ht="15" customHeight="1">
      <c r="C40" s="82"/>
      <c r="D40" s="6" t="s">
        <v>29</v>
      </c>
      <c r="E40" s="5" t="s">
        <v>27</v>
      </c>
      <c r="F40" s="5"/>
      <c r="G40" s="5"/>
      <c r="H40" s="5"/>
      <c r="I40" s="5"/>
      <c r="J40" s="5"/>
      <c r="K40" s="5"/>
      <c r="L40" s="130">
        <f>U18</f>
        <v>13.3</v>
      </c>
      <c r="M40" s="5"/>
      <c r="N40" s="5"/>
      <c r="O40" s="83"/>
      <c r="P40" s="299"/>
      <c r="Q40" s="102">
        <f>(Q38/Q39)/10</f>
        <v>14410.063955439933</v>
      </c>
      <c r="T40" s="1"/>
      <c r="U40" s="1"/>
    </row>
    <row r="41" spans="3:21" ht="15" customHeight="1">
      <c r="C41" s="82"/>
      <c r="D41" s="6" t="s">
        <v>43</v>
      </c>
      <c r="E41" s="5" t="s">
        <v>28</v>
      </c>
      <c r="F41" s="5"/>
      <c r="G41" s="5"/>
      <c r="H41" s="5"/>
      <c r="I41" s="5"/>
      <c r="J41" s="5"/>
      <c r="K41" s="5"/>
      <c r="L41" s="131" t="s">
        <v>34</v>
      </c>
      <c r="M41" s="5"/>
      <c r="N41" s="5"/>
      <c r="O41" s="83"/>
      <c r="P41" s="299"/>
      <c r="Q41" s="99"/>
      <c r="T41" s="1"/>
      <c r="U41" s="1"/>
    </row>
    <row r="42" spans="3:21" ht="15" customHeight="1">
      <c r="C42" s="82"/>
      <c r="D42" s="6" t="s">
        <v>44</v>
      </c>
      <c r="E42" s="5" t="s">
        <v>30</v>
      </c>
      <c r="F42" s="5"/>
      <c r="G42" s="5"/>
      <c r="H42" s="5"/>
      <c r="I42" s="5"/>
      <c r="J42" s="5"/>
      <c r="K42" s="5"/>
      <c r="L42" s="132">
        <f>U20</f>
        <v>3</v>
      </c>
      <c r="M42" s="5"/>
      <c r="N42" s="5"/>
      <c r="O42" s="83"/>
      <c r="P42" s="299"/>
      <c r="Q42" s="100"/>
      <c r="T42" s="1"/>
      <c r="U42" s="1"/>
    </row>
    <row r="43" spans="3:21" ht="12" customHeight="1">
      <c r="C43" s="82"/>
      <c r="M43" s="5"/>
      <c r="N43" s="5"/>
      <c r="O43" s="83"/>
      <c r="P43" s="299"/>
      <c r="R43" s="101"/>
      <c r="T43" s="1"/>
      <c r="U43" s="1"/>
    </row>
    <row r="44" spans="3:21" ht="30" customHeight="1">
      <c r="C44" s="8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85"/>
      <c r="P44" s="299"/>
      <c r="T44" s="1"/>
      <c r="U44" s="1"/>
    </row>
    <row r="45" spans="3:15" ht="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25">
    <mergeCell ref="D22:D23"/>
    <mergeCell ref="G4:O4"/>
    <mergeCell ref="C2:F5"/>
    <mergeCell ref="D12:M12"/>
    <mergeCell ref="D20:O21"/>
    <mergeCell ref="J22:J23"/>
    <mergeCell ref="G22:G23"/>
    <mergeCell ref="M22:M23"/>
    <mergeCell ref="N22:N23"/>
    <mergeCell ref="E22:E23"/>
    <mergeCell ref="F22:F23"/>
    <mergeCell ref="J14:K14"/>
    <mergeCell ref="L14:O14"/>
    <mergeCell ref="H22:H23"/>
    <mergeCell ref="O22:O23"/>
    <mergeCell ref="E35:F35"/>
    <mergeCell ref="I22:I23"/>
    <mergeCell ref="K22:K23"/>
    <mergeCell ref="L22:L23"/>
    <mergeCell ref="D10:M10"/>
    <mergeCell ref="D8:M8"/>
    <mergeCell ref="D7:M7"/>
    <mergeCell ref="G3:O3"/>
    <mergeCell ref="G5:O5"/>
    <mergeCell ref="G2:O2"/>
  </mergeCells>
  <printOptions/>
  <pageMargins left="1.1811023622047245" right="0.5905511811023623" top="1.1811023622047245" bottom="0.8661417322834646" header="0" footer="0"/>
  <pageSetup horizontalDpi="300" verticalDpi="300" orientation="portrait" paperSize="9" r:id="rId4"/>
  <rowBreaks count="1" manualBreakCount="1">
    <brk id="44" max="255" man="1"/>
  </rowBreaks>
  <drawing r:id="rId3"/>
  <legacyDrawing r:id="rId2"/>
  <oleObjects>
    <oleObject progId="Equation.3" shapeId="1590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ENECON S/A.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Sarjetas</dc:title>
  <dc:subject>Comprimento Crítico de Sarjetas</dc:subject>
  <dc:creator>Carlos Eduardo de Almeida Mendes</dc:creator>
  <cp:keywords>Sarjeta</cp:keywords>
  <dc:description/>
  <cp:lastModifiedBy>samir</cp:lastModifiedBy>
  <cp:lastPrinted>2010-11-17T12:52:53Z</cp:lastPrinted>
  <dcterms:created xsi:type="dcterms:W3CDTF">1998-09-23T14:38:42Z</dcterms:created>
  <dcterms:modified xsi:type="dcterms:W3CDTF">2019-04-02T15:45:50Z</dcterms:modified>
  <cp:category/>
  <cp:version/>
  <cp:contentType/>
  <cp:contentStatus/>
</cp:coreProperties>
</file>